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slicers/slicer2.xml" ContentType="application/vnd.ms-excel.slicer+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omments2.xml" ContentType="application/vnd.openxmlformats-officedocument.spreadsheetml.comments+xml"/>
  <Override PartName="/xl/drawings/drawing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pivotTables/pivotTable6.xml" ContentType="application/vnd.openxmlformats-officedocument.spreadsheetml.pivotTable+xml"/>
  <Override PartName="/xl/pivotTables/pivotTable7.xml" ContentType="application/vnd.openxmlformats-officedocument.spreadsheetml.pivotTable+xml"/>
  <Override PartName="/xl/drawings/drawing4.xml" ContentType="application/vnd.openxmlformats-officedocument.drawing+xml"/>
  <Override PartName="/xl/comments3.xml" ContentType="application/vnd.openxmlformats-officedocument.spreadsheetml.comment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guleng\Documents\CEE at BEG\web site\"/>
    </mc:Choice>
  </mc:AlternateContent>
  <bookViews>
    <workbookView xWindow="0" yWindow="0" windowWidth="28800" windowHeight="12420" activeTab="1"/>
  </bookViews>
  <sheets>
    <sheet name="Data" sheetId="2" r:id="rId1"/>
    <sheet name="Dashboard" sheetId="5" r:id="rId2"/>
    <sheet name="Other info" sheetId="6" r:id="rId3"/>
    <sheet name="Other calcs" sheetId="7" r:id="rId4"/>
    <sheet name="Misc" sheetId="9" r:id="rId5"/>
    <sheet name="WSJ" sheetId="10" r:id="rId6"/>
  </sheets>
  <definedNames>
    <definedName name="Slicer_Company1">#N/A</definedName>
    <definedName name="Slicer_Year1">#N/A</definedName>
  </definedNames>
  <calcPr calcId="152511" concurrentCalc="0"/>
  <pivotCaches>
    <pivotCache cacheId="8" r:id="rId7"/>
    <pivotCache cacheId="9" r:id="rId8"/>
  </pivotCaches>
  <extLst>
    <ext xmlns:x14="http://schemas.microsoft.com/office/spreadsheetml/2009/9/main" uri="{BBE1A952-AA13-448e-AADC-164F8A28A991}">
      <x14:slicerCaches>
        <x14:slicerCache r:id="rId9"/>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9" i="10" l="1"/>
  <c r="C158" i="10"/>
  <c r="C157" i="10"/>
  <c r="C156" i="10"/>
  <c r="C155" i="10"/>
  <c r="C154" i="10"/>
  <c r="C148" i="10"/>
  <c r="C147" i="10"/>
  <c r="C146" i="10"/>
  <c r="C145" i="10"/>
  <c r="C144" i="10"/>
  <c r="C139" i="10"/>
  <c r="C138" i="10"/>
  <c r="C137" i="10"/>
  <c r="C136" i="10"/>
  <c r="C135" i="10"/>
  <c r="C134" i="10"/>
  <c r="C99" i="10"/>
  <c r="C98" i="10"/>
  <c r="C97" i="10"/>
  <c r="C96" i="10"/>
  <c r="C95" i="10"/>
  <c r="C94" i="10"/>
  <c r="C89" i="10"/>
  <c r="C88" i="10"/>
  <c r="C87" i="10"/>
  <c r="C86" i="10"/>
  <c r="C85" i="10"/>
  <c r="C84" i="10"/>
  <c r="C78" i="10"/>
  <c r="C77" i="10"/>
  <c r="C76" i="10"/>
  <c r="C75" i="10"/>
  <c r="C74" i="10"/>
  <c r="C50" i="10"/>
  <c r="C39" i="10"/>
  <c r="C38" i="10"/>
  <c r="C37" i="10"/>
  <c r="C36" i="10"/>
  <c r="C35" i="10"/>
  <c r="C34" i="10"/>
  <c r="C29" i="10"/>
  <c r="C28" i="10"/>
  <c r="C27" i="10"/>
  <c r="C26" i="10"/>
  <c r="C25" i="10"/>
  <c r="C24" i="10"/>
  <c r="C17" i="10"/>
  <c r="C16" i="10"/>
  <c r="C15" i="10"/>
  <c r="C14" i="10"/>
  <c r="C8" i="10"/>
  <c r="C7" i="10"/>
  <c r="C6" i="10"/>
  <c r="C5" i="10"/>
  <c r="C4" i="10"/>
  <c r="D141" i="10"/>
  <c r="D111" i="10"/>
  <c r="D110" i="10"/>
  <c r="D109" i="10"/>
  <c r="D108" i="10"/>
  <c r="D107" i="10"/>
  <c r="D106" i="10"/>
  <c r="D105" i="10"/>
  <c r="D104" i="10"/>
  <c r="D101" i="10"/>
  <c r="D100" i="10"/>
  <c r="D99" i="10"/>
  <c r="D98" i="10"/>
  <c r="D97" i="10"/>
  <c r="D96" i="10"/>
  <c r="D95" i="10"/>
  <c r="D94" i="10"/>
  <c r="D71" i="10"/>
  <c r="D61" i="10"/>
  <c r="D60" i="10"/>
  <c r="D59" i="10"/>
  <c r="D58" i="10"/>
  <c r="D57" i="10"/>
  <c r="D56" i="10"/>
  <c r="D55" i="10"/>
  <c r="D54" i="10"/>
  <c r="D51" i="10"/>
  <c r="D41" i="10"/>
  <c r="E35" i="10"/>
  <c r="E34" i="10"/>
  <c r="E33" i="10"/>
  <c r="D18" i="10"/>
  <c r="D17" i="10"/>
  <c r="D16" i="10"/>
  <c r="D15" i="10"/>
  <c r="D14" i="10"/>
  <c r="V35" i="2"/>
  <c r="V34" i="2"/>
  <c r="V33" i="2"/>
  <c r="U104" i="2"/>
  <c r="U105" i="2"/>
  <c r="U106" i="2"/>
  <c r="U107" i="2"/>
  <c r="U108" i="2"/>
  <c r="U109" i="2"/>
  <c r="U110" i="2"/>
  <c r="U111" i="2"/>
  <c r="F84" i="2"/>
  <c r="F85" i="2"/>
  <c r="F86" i="2"/>
  <c r="F87" i="2"/>
  <c r="F91" i="2"/>
  <c r="F90" i="2"/>
  <c r="F89" i="2"/>
  <c r="F88" i="2"/>
  <c r="S121" i="2"/>
  <c r="I121" i="2"/>
  <c r="F121" i="2"/>
  <c r="J121" i="2"/>
  <c r="L121" i="2"/>
  <c r="O121" i="2"/>
  <c r="P121" i="2"/>
  <c r="U101" i="2"/>
  <c r="S101" i="2"/>
  <c r="H101" i="2"/>
  <c r="F101" i="2"/>
  <c r="D101" i="2"/>
  <c r="J101" i="2"/>
  <c r="L101" i="2"/>
  <c r="O101" i="2"/>
  <c r="P101" i="2"/>
  <c r="S91" i="2"/>
  <c r="L91" i="2"/>
  <c r="O91" i="2"/>
  <c r="P91" i="2"/>
  <c r="D91" i="2"/>
  <c r="S161" i="2"/>
  <c r="E161" i="2"/>
  <c r="J161" i="2"/>
  <c r="L161" i="2"/>
  <c r="O161" i="2"/>
  <c r="P161" i="2"/>
  <c r="C161" i="2"/>
  <c r="S160" i="2"/>
  <c r="E160" i="2"/>
  <c r="J160" i="2"/>
  <c r="L160" i="2"/>
  <c r="O160" i="2"/>
  <c r="P160" i="2"/>
  <c r="T159" i="2"/>
  <c r="S159" i="2"/>
  <c r="J159" i="2"/>
  <c r="L159" i="2"/>
  <c r="O159" i="2"/>
  <c r="P159" i="2"/>
  <c r="R151" i="2"/>
  <c r="S151" i="2"/>
  <c r="I151" i="2"/>
  <c r="F151" i="2"/>
  <c r="J151" i="2"/>
  <c r="L151" i="2"/>
  <c r="O151" i="2"/>
  <c r="P151" i="2"/>
  <c r="C151" i="2"/>
  <c r="S141" i="2"/>
  <c r="U141" i="2"/>
  <c r="J141" i="2"/>
  <c r="L141" i="2"/>
  <c r="O141" i="2"/>
  <c r="P141" i="2"/>
  <c r="S81" i="2"/>
  <c r="I81" i="2"/>
  <c r="J81" i="2"/>
  <c r="L81" i="2"/>
  <c r="O81" i="2"/>
  <c r="P81" i="2"/>
  <c r="U71" i="2"/>
  <c r="S71" i="2"/>
  <c r="M71" i="2"/>
  <c r="O37" i="6"/>
  <c r="P37" i="6"/>
  <c r="O36" i="6"/>
  <c r="P36" i="6"/>
  <c r="N33" i="6"/>
  <c r="N43" i="6"/>
  <c r="P41" i="6"/>
  <c r="P40" i="6"/>
  <c r="P39" i="6"/>
  <c r="P38" i="6"/>
  <c r="P35" i="6"/>
  <c r="P34" i="6"/>
  <c r="J71" i="2"/>
  <c r="L71" i="2"/>
  <c r="G54" i="2"/>
  <c r="H55" i="2"/>
  <c r="U56" i="2"/>
  <c r="U54" i="2"/>
  <c r="K54" i="2"/>
  <c r="H54" i="2"/>
  <c r="F54" i="2"/>
  <c r="K56" i="2"/>
  <c r="H56" i="2"/>
  <c r="G56" i="2"/>
  <c r="F56" i="2"/>
  <c r="U55" i="2"/>
  <c r="K55" i="2"/>
  <c r="G55" i="2"/>
  <c r="F55" i="2"/>
  <c r="K57" i="2"/>
  <c r="K58" i="2"/>
  <c r="H57" i="2"/>
  <c r="H58" i="2"/>
  <c r="G58" i="2"/>
  <c r="G57" i="2"/>
  <c r="F57" i="2"/>
  <c r="F58" i="2"/>
  <c r="C57" i="2"/>
  <c r="C58" i="2"/>
  <c r="U57" i="2"/>
  <c r="U58" i="2"/>
  <c r="K61" i="2"/>
  <c r="K59" i="2"/>
  <c r="K60" i="2"/>
  <c r="H59" i="2"/>
  <c r="H60" i="2"/>
  <c r="H61" i="2"/>
  <c r="G61" i="2"/>
  <c r="G60" i="2"/>
  <c r="G59" i="2"/>
  <c r="F59" i="2"/>
  <c r="F60" i="2"/>
  <c r="F61" i="2"/>
  <c r="U61" i="2"/>
  <c r="U59" i="2"/>
  <c r="U60" i="2"/>
  <c r="S61" i="2"/>
  <c r="C61" i="2"/>
  <c r="O71" i="2"/>
  <c r="P71" i="2"/>
  <c r="P33" i="6"/>
  <c r="P43" i="6"/>
  <c r="J61" i="2"/>
  <c r="L61" i="2"/>
  <c r="O61" i="2"/>
  <c r="P61" i="2"/>
  <c r="U51" i="2"/>
  <c r="T50" i="2"/>
  <c r="R51" i="2"/>
  <c r="S51" i="2"/>
  <c r="G51" i="2"/>
  <c r="F51" i="2"/>
  <c r="J51" i="2"/>
  <c r="L51" i="2"/>
  <c r="O51" i="2"/>
  <c r="P51" i="2"/>
  <c r="U41" i="2"/>
  <c r="S41" i="2"/>
  <c r="M41" i="2"/>
  <c r="I41" i="2"/>
  <c r="F41" i="2"/>
  <c r="J41" i="2"/>
  <c r="L41" i="2"/>
  <c r="O41" i="2"/>
  <c r="P41" i="2"/>
  <c r="S31" i="2"/>
  <c r="F31" i="2"/>
  <c r="D31" i="2"/>
  <c r="J31" i="2"/>
  <c r="L31" i="2"/>
  <c r="J21" i="2"/>
  <c r="K21" i="2"/>
  <c r="L21" i="2"/>
  <c r="O21" i="2"/>
  <c r="P21" i="2"/>
  <c r="S21" i="2"/>
  <c r="S11" i="2"/>
  <c r="I11" i="2"/>
  <c r="F11" i="2"/>
  <c r="S111" i="2"/>
  <c r="I111" i="2"/>
  <c r="D111" i="2"/>
  <c r="J111" i="2"/>
  <c r="L111" i="2"/>
  <c r="O111" i="2"/>
  <c r="P111" i="2"/>
  <c r="J11" i="2"/>
  <c r="L11" i="2"/>
  <c r="O11" i="2"/>
  <c r="P11" i="2"/>
  <c r="N4" i="6"/>
  <c r="O4" i="6"/>
  <c r="R11" i="6"/>
  <c r="N11" i="6"/>
  <c r="O8" i="6"/>
  <c r="O7" i="6"/>
  <c r="O6" i="6"/>
  <c r="O5" i="6"/>
  <c r="O9" i="6"/>
  <c r="N9" i="6"/>
  <c r="N12" i="6"/>
  <c r="O11" i="6"/>
  <c r="O12" i="6"/>
  <c r="L29" i="6"/>
  <c r="M31" i="2"/>
  <c r="O31" i="2"/>
  <c r="P31" i="2"/>
  <c r="AA75" i="2"/>
  <c r="AA76" i="2"/>
  <c r="AA77" i="2"/>
  <c r="AA78" i="2"/>
  <c r="AA79" i="2"/>
  <c r="AA80" i="2"/>
  <c r="AA74" i="2"/>
  <c r="I109" i="2"/>
  <c r="I110" i="2"/>
  <c r="H105" i="2"/>
  <c r="H104" i="2"/>
  <c r="D105" i="2"/>
  <c r="D104" i="2"/>
  <c r="D106" i="2"/>
  <c r="J106" i="2"/>
  <c r="L106" i="2"/>
  <c r="O106" i="2"/>
  <c r="P106" i="2"/>
  <c r="D107" i="2"/>
  <c r="J107" i="2"/>
  <c r="L107" i="2"/>
  <c r="O107" i="2"/>
  <c r="P107" i="2"/>
  <c r="D108" i="2"/>
  <c r="D109" i="2"/>
  <c r="D110" i="2"/>
  <c r="J103" i="2"/>
  <c r="L103" i="2"/>
  <c r="O103" i="2"/>
  <c r="P103" i="2"/>
  <c r="J102" i="2"/>
  <c r="L102" i="2"/>
  <c r="O102" i="2"/>
  <c r="P102" i="2"/>
  <c r="S110" i="2"/>
  <c r="S109" i="2"/>
  <c r="S108" i="2"/>
  <c r="S107" i="2"/>
  <c r="S106" i="2"/>
  <c r="S105" i="2"/>
  <c r="S104" i="2"/>
  <c r="S103" i="2"/>
  <c r="S102" i="2"/>
  <c r="E114" i="2"/>
  <c r="E115" i="2"/>
  <c r="J63" i="2"/>
  <c r="L63" i="2"/>
  <c r="O63" i="2"/>
  <c r="P63" i="2"/>
  <c r="Y64" i="2"/>
  <c r="Y63" i="2"/>
  <c r="Y62" i="2"/>
  <c r="Y61" i="2"/>
  <c r="Y60" i="2"/>
  <c r="Y59" i="2"/>
  <c r="Y58" i="2"/>
  <c r="AX34" i="6"/>
  <c r="AS36" i="6"/>
  <c r="AT36" i="6"/>
  <c r="AS35" i="6"/>
  <c r="AT35" i="6"/>
  <c r="AY39" i="6"/>
  <c r="AY38" i="6"/>
  <c r="AY37" i="6"/>
  <c r="AY36" i="6"/>
  <c r="AY35" i="6"/>
  <c r="AY34" i="6"/>
  <c r="AY33" i="6"/>
  <c r="AT39" i="6"/>
  <c r="AT38" i="6"/>
  <c r="AT37" i="6"/>
  <c r="AT34" i="6"/>
  <c r="AT33" i="6"/>
  <c r="AO39" i="6"/>
  <c r="AO38" i="6"/>
  <c r="AO37" i="6"/>
  <c r="AO36" i="6"/>
  <c r="AO35" i="6"/>
  <c r="AO34" i="6"/>
  <c r="AO33" i="6"/>
  <c r="AM40" i="6"/>
  <c r="AW40" i="6"/>
  <c r="AR40" i="6"/>
  <c r="J64" i="2"/>
  <c r="L64" i="2"/>
  <c r="S70" i="2"/>
  <c r="S69" i="2"/>
  <c r="S68" i="2"/>
  <c r="S67" i="2"/>
  <c r="S66" i="2"/>
  <c r="S65" i="2"/>
  <c r="S64" i="2"/>
  <c r="S63" i="2"/>
  <c r="S62" i="2"/>
  <c r="J70" i="2"/>
  <c r="L70" i="2"/>
  <c r="J69" i="2"/>
  <c r="L69" i="2"/>
  <c r="J68" i="2"/>
  <c r="L68" i="2"/>
  <c r="J67" i="2"/>
  <c r="L67" i="2"/>
  <c r="J66" i="2"/>
  <c r="L66" i="2"/>
  <c r="J65" i="2"/>
  <c r="L65" i="2"/>
  <c r="J62" i="2"/>
  <c r="L62" i="2"/>
  <c r="O62" i="2"/>
  <c r="P62" i="2"/>
  <c r="Y41" i="6"/>
  <c r="Z41" i="6"/>
  <c r="Y40" i="6"/>
  <c r="Z40" i="6"/>
  <c r="X33" i="6"/>
  <c r="Z33" i="6"/>
  <c r="U41" i="6"/>
  <c r="U40" i="6"/>
  <c r="T34" i="6"/>
  <c r="U34" i="6"/>
  <c r="S33" i="6"/>
  <c r="U33" i="6"/>
  <c r="Z39" i="6"/>
  <c r="U39" i="6"/>
  <c r="Z38" i="6"/>
  <c r="U38" i="6"/>
  <c r="Z37" i="6"/>
  <c r="U37" i="6"/>
  <c r="Z36" i="6"/>
  <c r="U36" i="6"/>
  <c r="Z35" i="6"/>
  <c r="U35" i="6"/>
  <c r="Z34" i="6"/>
  <c r="AJ39" i="6"/>
  <c r="AJ38" i="6"/>
  <c r="AJ37" i="6"/>
  <c r="AJ36" i="6"/>
  <c r="AJ35" i="6"/>
  <c r="AJ34" i="6"/>
  <c r="AJ33" i="6"/>
  <c r="AE39" i="6"/>
  <c r="AE38" i="6"/>
  <c r="AE37" i="6"/>
  <c r="AE36" i="6"/>
  <c r="AE35" i="6"/>
  <c r="AE34" i="6"/>
  <c r="AH40" i="6"/>
  <c r="AC40" i="6"/>
  <c r="AE33" i="6"/>
  <c r="S43" i="6"/>
  <c r="AY40" i="6"/>
  <c r="M64" i="2"/>
  <c r="O64" i="2"/>
  <c r="P64" i="2"/>
  <c r="AE40" i="6"/>
  <c r="M68" i="2"/>
  <c r="O68" i="2"/>
  <c r="P68" i="2"/>
  <c r="AJ40" i="6"/>
  <c r="M67" i="2"/>
  <c r="O67" i="2"/>
  <c r="P67" i="2"/>
  <c r="AO40" i="6"/>
  <c r="M66" i="2"/>
  <c r="O66" i="2"/>
  <c r="P66" i="2"/>
  <c r="J104" i="2"/>
  <c r="L104" i="2"/>
  <c r="O104" i="2"/>
  <c r="P104" i="2"/>
  <c r="J105" i="2"/>
  <c r="L105" i="2"/>
  <c r="O105" i="2"/>
  <c r="P105" i="2"/>
  <c r="J109" i="2"/>
  <c r="L109" i="2"/>
  <c r="O109" i="2"/>
  <c r="P109" i="2"/>
  <c r="J110" i="2"/>
  <c r="L110" i="2"/>
  <c r="O110" i="2"/>
  <c r="P110" i="2"/>
  <c r="J108" i="2"/>
  <c r="L108" i="2"/>
  <c r="O108" i="2"/>
  <c r="P108" i="2"/>
  <c r="AT40" i="6"/>
  <c r="M65" i="2"/>
  <c r="O65" i="2"/>
  <c r="P65" i="2"/>
  <c r="Z43" i="6"/>
  <c r="M69" i="2"/>
  <c r="O69" i="2"/>
  <c r="P69" i="2"/>
  <c r="X43" i="6"/>
  <c r="U43" i="6"/>
  <c r="M70" i="2"/>
  <c r="O70" i="2"/>
  <c r="P70" i="2"/>
  <c r="G44" i="2"/>
  <c r="F44" i="2"/>
  <c r="G45" i="2"/>
  <c r="F45" i="2"/>
  <c r="G46" i="2"/>
  <c r="F46" i="2"/>
  <c r="G47" i="2"/>
  <c r="F47" i="2"/>
  <c r="G48" i="2"/>
  <c r="F48" i="2"/>
  <c r="J48" i="2"/>
  <c r="L48" i="2"/>
  <c r="G49" i="2"/>
  <c r="F49" i="2"/>
  <c r="J49" i="2"/>
  <c r="L49" i="2"/>
  <c r="O49" i="2"/>
  <c r="P49" i="2"/>
  <c r="G50" i="2"/>
  <c r="F50" i="2"/>
  <c r="J50" i="2"/>
  <c r="L50" i="2"/>
  <c r="O50" i="2"/>
  <c r="P50" i="2"/>
  <c r="R45" i="2"/>
  <c r="S45" i="2"/>
  <c r="R46" i="2"/>
  <c r="S46" i="2"/>
  <c r="R47" i="2"/>
  <c r="S47" i="2"/>
  <c r="R48" i="2"/>
  <c r="S48" i="2"/>
  <c r="R49" i="2"/>
  <c r="S49" i="2"/>
  <c r="R50" i="2"/>
  <c r="S50" i="2"/>
  <c r="R44" i="2"/>
  <c r="S44" i="2"/>
  <c r="S43" i="2"/>
  <c r="S42" i="2"/>
  <c r="J47" i="2"/>
  <c r="L47" i="2"/>
  <c r="O47" i="2"/>
  <c r="P47" i="2"/>
  <c r="J46" i="2"/>
  <c r="L46" i="2"/>
  <c r="O46" i="2"/>
  <c r="P46" i="2"/>
  <c r="J45" i="2"/>
  <c r="L45" i="2"/>
  <c r="O45" i="2"/>
  <c r="P45" i="2"/>
  <c r="J44" i="2"/>
  <c r="L44" i="2"/>
  <c r="O44" i="2"/>
  <c r="P44" i="2"/>
  <c r="J43" i="2"/>
  <c r="L43" i="2"/>
  <c r="O43" i="2"/>
  <c r="P43" i="2"/>
  <c r="J42" i="2"/>
  <c r="L42" i="2"/>
  <c r="O42" i="2"/>
  <c r="P42" i="2"/>
  <c r="O48" i="2"/>
  <c r="P48" i="2"/>
  <c r="O10" i="7"/>
  <c r="O9" i="7"/>
  <c r="O8" i="7"/>
  <c r="O7" i="7"/>
  <c r="O6" i="7"/>
  <c r="O5" i="7"/>
  <c r="O4" i="7"/>
  <c r="F114" i="2"/>
  <c r="F115" i="2"/>
  <c r="I116" i="2"/>
  <c r="I117" i="2"/>
  <c r="F116" i="2"/>
  <c r="F117" i="2"/>
  <c r="I118" i="2"/>
  <c r="I119" i="2"/>
  <c r="I120" i="2"/>
  <c r="F118" i="2"/>
  <c r="F119" i="2"/>
  <c r="F120" i="2"/>
  <c r="S119" i="2"/>
  <c r="S118" i="2"/>
  <c r="S117" i="2"/>
  <c r="S116" i="2"/>
  <c r="S114" i="2"/>
  <c r="S120" i="2"/>
  <c r="S115" i="2"/>
  <c r="S113" i="2"/>
  <c r="S112" i="2"/>
  <c r="J120" i="2"/>
  <c r="L120" i="2"/>
  <c r="O120" i="2"/>
  <c r="P120" i="2"/>
  <c r="J119" i="2"/>
  <c r="L119" i="2"/>
  <c r="O119" i="2"/>
  <c r="P119" i="2"/>
  <c r="J118" i="2"/>
  <c r="L118" i="2"/>
  <c r="O118" i="2"/>
  <c r="P118" i="2"/>
  <c r="J117" i="2"/>
  <c r="L117" i="2"/>
  <c r="O117" i="2"/>
  <c r="P117" i="2"/>
  <c r="J116" i="2"/>
  <c r="L116" i="2"/>
  <c r="O116" i="2"/>
  <c r="P116" i="2"/>
  <c r="J115" i="2"/>
  <c r="L115" i="2"/>
  <c r="O115" i="2"/>
  <c r="P115" i="2"/>
  <c r="J114" i="2"/>
  <c r="L114" i="2"/>
  <c r="O114" i="2"/>
  <c r="P114" i="2"/>
  <c r="J113" i="2"/>
  <c r="L113" i="2"/>
  <c r="O113" i="2"/>
  <c r="P113" i="2"/>
  <c r="J112" i="2"/>
  <c r="L112" i="2"/>
  <c r="O112" i="2"/>
  <c r="P112" i="2"/>
  <c r="M6" i="7"/>
  <c r="M7" i="7"/>
  <c r="M8" i="7"/>
  <c r="M9" i="7"/>
  <c r="M10" i="7"/>
  <c r="M5" i="7"/>
  <c r="G5" i="7"/>
  <c r="G6" i="7"/>
  <c r="G7" i="7"/>
  <c r="G8" i="7"/>
  <c r="G9" i="7"/>
  <c r="G10" i="7"/>
  <c r="G4" i="7"/>
  <c r="H5" i="7"/>
  <c r="I5" i="7"/>
  <c r="J5" i="7"/>
  <c r="H6" i="7"/>
  <c r="I6" i="7"/>
  <c r="J6" i="7"/>
  <c r="H7" i="7"/>
  <c r="I7" i="7"/>
  <c r="J7" i="7"/>
  <c r="H8" i="7"/>
  <c r="I8" i="7"/>
  <c r="J8" i="7"/>
  <c r="H9" i="7"/>
  <c r="I9" i="7"/>
  <c r="J9" i="7"/>
  <c r="H10" i="7"/>
  <c r="I10" i="7"/>
  <c r="J10" i="7"/>
  <c r="J4" i="7"/>
  <c r="I4" i="7"/>
  <c r="H4" i="7"/>
  <c r="K8" i="7"/>
  <c r="K5" i="7"/>
  <c r="K4" i="7"/>
  <c r="K9" i="7"/>
  <c r="K10" i="7"/>
  <c r="K6" i="7"/>
  <c r="K7" i="7"/>
  <c r="F9" i="2"/>
  <c r="F8" i="2"/>
  <c r="I6" i="2"/>
  <c r="I5" i="2"/>
  <c r="L7" i="7"/>
  <c r="N7" i="7"/>
  <c r="L6" i="7"/>
  <c r="N6" i="7"/>
  <c r="L10" i="7"/>
  <c r="N10" i="7"/>
  <c r="L9" i="7"/>
  <c r="N9" i="7"/>
  <c r="L4" i="7"/>
  <c r="N4" i="7"/>
  <c r="L5" i="7"/>
  <c r="N5" i="7"/>
  <c r="L8" i="7"/>
  <c r="N8" i="7"/>
  <c r="AF27" i="6"/>
  <c r="X27" i="6"/>
  <c r="S27" i="6"/>
  <c r="W27" i="6"/>
  <c r="AG26" i="6"/>
  <c r="AF26" i="6"/>
  <c r="X26" i="6"/>
  <c r="S26" i="6"/>
  <c r="W26" i="6"/>
  <c r="Y26" i="6"/>
  <c r="AB26" i="6"/>
  <c r="AC26" i="6"/>
  <c r="AG25" i="6"/>
  <c r="AF25" i="6"/>
  <c r="X25" i="6"/>
  <c r="S25" i="6"/>
  <c r="W25" i="6"/>
  <c r="AG24" i="6"/>
  <c r="AF24" i="6"/>
  <c r="X24" i="6"/>
  <c r="S24" i="6"/>
  <c r="W24" i="6"/>
  <c r="Y24" i="6"/>
  <c r="AB24" i="6"/>
  <c r="AC24" i="6"/>
  <c r="AG23" i="6"/>
  <c r="AF23" i="6"/>
  <c r="X23" i="6"/>
  <c r="S23" i="6"/>
  <c r="W23" i="6"/>
  <c r="AG22" i="6"/>
  <c r="AF22" i="6"/>
  <c r="X22" i="6"/>
  <c r="S22" i="6"/>
  <c r="W22" i="6"/>
  <c r="Y22" i="6"/>
  <c r="AB22" i="6"/>
  <c r="AC22" i="6"/>
  <c r="AG21" i="6"/>
  <c r="AF21" i="6"/>
  <c r="X21" i="6"/>
  <c r="S21" i="6"/>
  <c r="W21" i="6"/>
  <c r="AF20" i="6"/>
  <c r="W20" i="6"/>
  <c r="Y20" i="6"/>
  <c r="AB20" i="6"/>
  <c r="AC20" i="6"/>
  <c r="AF19" i="6"/>
  <c r="W19" i="6"/>
  <c r="Y19" i="6"/>
  <c r="AB19" i="6"/>
  <c r="AC19" i="6"/>
  <c r="Y23" i="6"/>
  <c r="AB23" i="6"/>
  <c r="AC23" i="6"/>
  <c r="Y25" i="6"/>
  <c r="AB25" i="6"/>
  <c r="AC25" i="6"/>
  <c r="Y27" i="6"/>
  <c r="AB27" i="6"/>
  <c r="AC27" i="6"/>
  <c r="Y21" i="6"/>
  <c r="AB21" i="6"/>
  <c r="AC21" i="6"/>
  <c r="V8" i="6"/>
  <c r="W8" i="6"/>
  <c r="AP11" i="6"/>
  <c r="AQ11" i="6"/>
  <c r="V11" i="6"/>
  <c r="AP9" i="6"/>
  <c r="AQ6" i="6"/>
  <c r="AQ5" i="6"/>
  <c r="AQ4" i="6"/>
  <c r="AL11" i="6"/>
  <c r="AM11" i="6"/>
  <c r="AL9" i="6"/>
  <c r="AM7" i="6"/>
  <c r="AM6" i="6"/>
  <c r="AM5" i="6"/>
  <c r="AM4" i="6"/>
  <c r="AH11" i="6"/>
  <c r="AI11" i="6"/>
  <c r="AH9" i="6"/>
  <c r="AH12" i="6"/>
  <c r="AI7" i="6"/>
  <c r="AI6" i="6"/>
  <c r="AI5" i="6"/>
  <c r="AI4" i="6"/>
  <c r="AD11" i="6"/>
  <c r="AD9" i="6"/>
  <c r="AE7" i="6"/>
  <c r="AE6" i="6"/>
  <c r="AE5" i="6"/>
  <c r="AE4" i="6"/>
  <c r="Z11" i="6"/>
  <c r="AA11" i="6"/>
  <c r="Z9" i="6"/>
  <c r="AA7" i="6"/>
  <c r="AA6" i="6"/>
  <c r="AA5" i="6"/>
  <c r="AA4" i="6"/>
  <c r="S11" i="6"/>
  <c r="V9" i="6"/>
  <c r="R9" i="6"/>
  <c r="R12" i="6"/>
  <c r="W7" i="6"/>
  <c r="W6" i="6"/>
  <c r="W5" i="6"/>
  <c r="W4" i="6"/>
  <c r="S5" i="6"/>
  <c r="S6" i="6"/>
  <c r="S7" i="6"/>
  <c r="S8" i="6"/>
  <c r="S4" i="6"/>
  <c r="U18" i="2"/>
  <c r="U16" i="2"/>
  <c r="U15" i="2"/>
  <c r="U14" i="2"/>
  <c r="U17" i="2"/>
  <c r="AD12" i="6"/>
  <c r="S9" i="6"/>
  <c r="AA9" i="6"/>
  <c r="AA12" i="6"/>
  <c r="L26" i="6"/>
  <c r="M28" i="2"/>
  <c r="AQ9" i="6"/>
  <c r="AQ12" i="6"/>
  <c r="L22" i="6"/>
  <c r="M24" i="2"/>
  <c r="S12" i="6"/>
  <c r="L28" i="6"/>
  <c r="M30" i="2"/>
  <c r="AM9" i="6"/>
  <c r="AM12" i="6"/>
  <c r="L23" i="6"/>
  <c r="M25" i="2"/>
  <c r="AI9" i="6"/>
  <c r="AI12" i="6"/>
  <c r="L24" i="6"/>
  <c r="M26" i="2"/>
  <c r="AE9" i="6"/>
  <c r="W9" i="6"/>
  <c r="V12" i="6"/>
  <c r="AP12" i="6"/>
  <c r="AL12" i="6"/>
  <c r="Z12" i="6"/>
  <c r="W11" i="6"/>
  <c r="AE11" i="6"/>
  <c r="O17" i="6"/>
  <c r="AE12" i="6"/>
  <c r="L25" i="6"/>
  <c r="M27" i="2"/>
  <c r="W12" i="6"/>
  <c r="L27" i="6"/>
  <c r="M29" i="2"/>
  <c r="D84" i="2"/>
  <c r="D85" i="2"/>
  <c r="D86" i="2"/>
  <c r="D87" i="2"/>
  <c r="D88" i="2"/>
  <c r="D89" i="2"/>
  <c r="D90" i="2"/>
  <c r="F127" i="2"/>
  <c r="F124" i="2"/>
  <c r="F125" i="2"/>
  <c r="F126" i="2"/>
  <c r="M128" i="2"/>
  <c r="M129" i="2"/>
  <c r="M130" i="2"/>
  <c r="F128" i="2"/>
  <c r="F129" i="2"/>
  <c r="F130" i="2"/>
  <c r="U100" i="2"/>
  <c r="F100" i="2"/>
  <c r="H100" i="2"/>
  <c r="I100" i="2"/>
  <c r="D100" i="2"/>
  <c r="F18" i="2"/>
  <c r="F19" i="2"/>
  <c r="F20" i="2"/>
  <c r="E40" i="2"/>
  <c r="E39" i="2"/>
  <c r="E38" i="2"/>
  <c r="E37" i="2"/>
  <c r="E36" i="2"/>
  <c r="E35" i="2"/>
  <c r="E34" i="2"/>
  <c r="K18" i="2"/>
  <c r="K19" i="2"/>
  <c r="K20" i="2"/>
  <c r="S82" i="2"/>
  <c r="S83" i="2"/>
  <c r="S90" i="2"/>
  <c r="S92" i="2"/>
  <c r="S93" i="2"/>
  <c r="S100" i="2"/>
  <c r="S122" i="2"/>
  <c r="S123" i="2"/>
  <c r="S124" i="2"/>
  <c r="S125" i="2"/>
  <c r="S126" i="2"/>
  <c r="S127" i="2"/>
  <c r="S128" i="2"/>
  <c r="S129" i="2"/>
  <c r="S130" i="2"/>
  <c r="S132" i="2"/>
  <c r="S133" i="2"/>
  <c r="S140" i="2"/>
  <c r="S142" i="2"/>
  <c r="S143" i="2"/>
  <c r="S150" i="2"/>
  <c r="S152" i="2"/>
  <c r="S153" i="2"/>
  <c r="J82" i="2"/>
  <c r="L82" i="2"/>
  <c r="J83" i="2"/>
  <c r="L83" i="2"/>
  <c r="J84" i="2"/>
  <c r="L84" i="2"/>
  <c r="J85" i="2"/>
  <c r="L85" i="2"/>
  <c r="J86" i="2"/>
  <c r="L86" i="2"/>
  <c r="J87" i="2"/>
  <c r="L87" i="2"/>
  <c r="J88" i="2"/>
  <c r="L88" i="2"/>
  <c r="J89" i="2"/>
  <c r="L89" i="2"/>
  <c r="J90" i="2"/>
  <c r="L90" i="2"/>
  <c r="J92" i="2"/>
  <c r="L92" i="2"/>
  <c r="J93" i="2"/>
  <c r="L93" i="2"/>
  <c r="J100" i="2"/>
  <c r="L100" i="2"/>
  <c r="J122" i="2"/>
  <c r="L122" i="2"/>
  <c r="J123" i="2"/>
  <c r="L123" i="2"/>
  <c r="J124" i="2"/>
  <c r="L124" i="2"/>
  <c r="J125" i="2"/>
  <c r="L125" i="2"/>
  <c r="J126" i="2"/>
  <c r="L126" i="2"/>
  <c r="J127" i="2"/>
  <c r="L127" i="2"/>
  <c r="J128" i="2"/>
  <c r="L128" i="2"/>
  <c r="J129" i="2"/>
  <c r="L129" i="2"/>
  <c r="J130" i="2"/>
  <c r="L130" i="2"/>
  <c r="J132" i="2"/>
  <c r="L132" i="2"/>
  <c r="J133" i="2"/>
  <c r="L133" i="2"/>
  <c r="J134" i="2"/>
  <c r="J135" i="2"/>
  <c r="J136" i="2"/>
  <c r="J137" i="2"/>
  <c r="J138" i="2"/>
  <c r="J139" i="2"/>
  <c r="J140" i="2"/>
  <c r="J142" i="2"/>
  <c r="L142" i="2"/>
  <c r="J143" i="2"/>
  <c r="L143" i="2"/>
  <c r="J144" i="2"/>
  <c r="J145" i="2"/>
  <c r="J146" i="2"/>
  <c r="J147" i="2"/>
  <c r="J152" i="2"/>
  <c r="L152" i="2"/>
  <c r="J153" i="2"/>
  <c r="L153" i="2"/>
  <c r="J154" i="2"/>
  <c r="L154" i="2"/>
  <c r="J155" i="2"/>
  <c r="L155" i="2"/>
  <c r="J156" i="2"/>
  <c r="L156" i="2"/>
  <c r="J157" i="2"/>
  <c r="L157" i="2"/>
  <c r="J158" i="2"/>
  <c r="L158" i="2"/>
  <c r="AB17" i="2"/>
  <c r="AF18" i="2"/>
  <c r="AB23" i="2"/>
  <c r="AB22" i="2"/>
  <c r="AE7" i="2"/>
  <c r="H52" i="2"/>
  <c r="AB19" i="2"/>
  <c r="AF20" i="2"/>
  <c r="S9" i="2"/>
  <c r="S10" i="2"/>
  <c r="S12" i="2"/>
  <c r="S13" i="2"/>
  <c r="S20" i="2"/>
  <c r="S22" i="2"/>
  <c r="S23" i="2"/>
  <c r="S30" i="2"/>
  <c r="S32" i="2"/>
  <c r="S33" i="2"/>
  <c r="S40" i="2"/>
  <c r="S52" i="2"/>
  <c r="S53" i="2"/>
  <c r="S54" i="2"/>
  <c r="S55" i="2"/>
  <c r="S56" i="2"/>
  <c r="S57" i="2"/>
  <c r="S58" i="2"/>
  <c r="S59" i="2"/>
  <c r="S60" i="2"/>
  <c r="S72" i="2"/>
  <c r="S73" i="2"/>
  <c r="S80" i="2"/>
  <c r="G50" i="6"/>
  <c r="G49" i="6"/>
  <c r="G18" i="6"/>
  <c r="G17" i="6"/>
  <c r="G16" i="6"/>
  <c r="G15" i="6"/>
  <c r="G14" i="6"/>
  <c r="G13" i="6"/>
  <c r="AE18" i="2"/>
  <c r="AD18" i="2"/>
  <c r="AC18" i="2"/>
  <c r="AB18" i="2"/>
  <c r="AB20" i="2"/>
  <c r="AE20" i="2"/>
  <c r="AD20" i="2"/>
  <c r="AC20" i="2"/>
  <c r="K144" i="2"/>
  <c r="L144" i="2"/>
  <c r="K145" i="2"/>
  <c r="L145" i="2"/>
  <c r="K146" i="2"/>
  <c r="L146" i="2"/>
  <c r="K147" i="2"/>
  <c r="L147" i="2"/>
  <c r="K148" i="2"/>
  <c r="K149" i="2"/>
  <c r="K150" i="2"/>
  <c r="I148" i="2"/>
  <c r="J148" i="2"/>
  <c r="I149" i="2"/>
  <c r="J149" i="2"/>
  <c r="I150" i="2"/>
  <c r="F150" i="2"/>
  <c r="C150" i="2"/>
  <c r="F94" i="2"/>
  <c r="H94" i="2"/>
  <c r="F95" i="2"/>
  <c r="H95" i="2"/>
  <c r="F96" i="2"/>
  <c r="H96" i="2"/>
  <c r="F97" i="2"/>
  <c r="H97" i="2"/>
  <c r="F98" i="2"/>
  <c r="H98" i="2"/>
  <c r="F99" i="2"/>
  <c r="H99" i="2"/>
  <c r="AF21" i="2"/>
  <c r="AB21" i="2"/>
  <c r="AC21" i="2"/>
  <c r="AD21" i="2"/>
  <c r="AE21" i="2"/>
  <c r="L148" i="2"/>
  <c r="J150" i="2"/>
  <c r="L150" i="2"/>
  <c r="O150" i="2"/>
  <c r="L149" i="2"/>
  <c r="K134" i="2"/>
  <c r="L134" i="2"/>
  <c r="K135" i="2"/>
  <c r="L135" i="2"/>
  <c r="K136" i="2"/>
  <c r="L136" i="2"/>
  <c r="T135" i="2"/>
  <c r="S135" i="2"/>
  <c r="T134" i="2"/>
  <c r="S134" i="2"/>
  <c r="T136" i="2"/>
  <c r="S136" i="2"/>
  <c r="T137" i="2"/>
  <c r="S137" i="2"/>
  <c r="K137" i="2"/>
  <c r="L137" i="2"/>
  <c r="K138" i="2"/>
  <c r="L138" i="2"/>
  <c r="K139" i="2"/>
  <c r="L139" i="2"/>
  <c r="K140" i="2"/>
  <c r="L140" i="2"/>
  <c r="I78" i="2"/>
  <c r="I79" i="2"/>
  <c r="I80" i="2"/>
  <c r="J80" i="2"/>
  <c r="L80" i="2"/>
  <c r="O80" i="2"/>
  <c r="P80" i="2"/>
  <c r="D54" i="2"/>
  <c r="J60" i="2"/>
  <c r="L60" i="2"/>
  <c r="O60" i="2"/>
  <c r="P60" i="2"/>
  <c r="I36" i="2"/>
  <c r="I37" i="2"/>
  <c r="F34" i="2"/>
  <c r="F35" i="2"/>
  <c r="F36" i="2"/>
  <c r="F37" i="2"/>
  <c r="F38" i="2"/>
  <c r="F39" i="2"/>
  <c r="F40" i="2"/>
  <c r="I38" i="2"/>
  <c r="I39" i="2"/>
  <c r="I40" i="2"/>
  <c r="F30" i="2"/>
  <c r="D30" i="2"/>
  <c r="O90" i="2"/>
  <c r="P90" i="2"/>
  <c r="O100" i="2"/>
  <c r="P100" i="2"/>
  <c r="O130" i="2"/>
  <c r="P130" i="2"/>
  <c r="J12" i="2"/>
  <c r="L12" i="2"/>
  <c r="O12" i="2"/>
  <c r="P12" i="2"/>
  <c r="J13" i="2"/>
  <c r="L13" i="2"/>
  <c r="O13" i="2"/>
  <c r="P13" i="2"/>
  <c r="J14" i="2"/>
  <c r="L14" i="2"/>
  <c r="O14" i="2"/>
  <c r="P14" i="2"/>
  <c r="J15" i="2"/>
  <c r="L15" i="2"/>
  <c r="O15" i="2"/>
  <c r="P15" i="2"/>
  <c r="J16" i="2"/>
  <c r="L16" i="2"/>
  <c r="O16" i="2"/>
  <c r="P16" i="2"/>
  <c r="J17" i="2"/>
  <c r="L17" i="2"/>
  <c r="O17" i="2"/>
  <c r="P17" i="2"/>
  <c r="J18" i="2"/>
  <c r="L18" i="2"/>
  <c r="O18" i="2"/>
  <c r="P18" i="2"/>
  <c r="J19" i="2"/>
  <c r="L19" i="2"/>
  <c r="O19" i="2"/>
  <c r="P19" i="2"/>
  <c r="J20" i="2"/>
  <c r="L20" i="2"/>
  <c r="O20" i="2"/>
  <c r="P20" i="2"/>
  <c r="J22" i="2"/>
  <c r="L22" i="2"/>
  <c r="O22" i="2"/>
  <c r="P22" i="2"/>
  <c r="J23" i="2"/>
  <c r="L23" i="2"/>
  <c r="O23" i="2"/>
  <c r="P23" i="2"/>
  <c r="J24" i="2"/>
  <c r="L24" i="2"/>
  <c r="O24" i="2"/>
  <c r="P24" i="2"/>
  <c r="J25" i="2"/>
  <c r="L25" i="2"/>
  <c r="O25" i="2"/>
  <c r="P25" i="2"/>
  <c r="J26" i="2"/>
  <c r="L26" i="2"/>
  <c r="O26" i="2"/>
  <c r="P26" i="2"/>
  <c r="F4" i="2"/>
  <c r="I4" i="2"/>
  <c r="F5" i="2"/>
  <c r="F6" i="2"/>
  <c r="F7" i="2"/>
  <c r="P150" i="2"/>
  <c r="J40" i="2"/>
  <c r="L40" i="2"/>
  <c r="O40" i="2"/>
  <c r="P40" i="2"/>
  <c r="J39" i="2"/>
  <c r="J30" i="2"/>
  <c r="L30" i="2"/>
  <c r="O30" i="2"/>
  <c r="P30" i="2"/>
  <c r="O140" i="2"/>
  <c r="P140" i="2"/>
  <c r="T39" i="2"/>
  <c r="S39" i="2"/>
  <c r="L39" i="2"/>
  <c r="O39" i="2"/>
  <c r="P39" i="2"/>
  <c r="S19" i="2"/>
  <c r="AB14" i="2"/>
  <c r="AF15" i="2"/>
  <c r="AB12" i="2"/>
  <c r="AF13" i="2"/>
  <c r="AC13" i="2"/>
  <c r="AB13" i="2"/>
  <c r="AD13" i="2"/>
  <c r="AE13" i="2"/>
  <c r="AE15" i="2"/>
  <c r="AD15" i="2"/>
  <c r="AC15" i="2"/>
  <c r="AB15" i="2"/>
  <c r="T158" i="2"/>
  <c r="S158" i="2"/>
  <c r="O158" i="2"/>
  <c r="P158" i="2"/>
  <c r="T157" i="2"/>
  <c r="S157" i="2"/>
  <c r="O157" i="2"/>
  <c r="P157" i="2"/>
  <c r="T156" i="2"/>
  <c r="S156" i="2"/>
  <c r="O156" i="2"/>
  <c r="P156" i="2"/>
  <c r="T155" i="2"/>
  <c r="S155" i="2"/>
  <c r="O155" i="2"/>
  <c r="P155" i="2"/>
  <c r="T154" i="2"/>
  <c r="S154" i="2"/>
  <c r="O154" i="2"/>
  <c r="P154" i="2"/>
  <c r="O153" i="2"/>
  <c r="P153" i="2"/>
  <c r="O152" i="2"/>
  <c r="P152" i="2"/>
  <c r="S149" i="2"/>
  <c r="O149" i="2"/>
  <c r="P149" i="2"/>
  <c r="T148" i="2"/>
  <c r="S148" i="2"/>
  <c r="O148" i="2"/>
  <c r="P148" i="2"/>
  <c r="T147" i="2"/>
  <c r="S147" i="2"/>
  <c r="O147" i="2"/>
  <c r="P147" i="2"/>
  <c r="T146" i="2"/>
  <c r="S146" i="2"/>
  <c r="O146" i="2"/>
  <c r="P146" i="2"/>
  <c r="T145" i="2"/>
  <c r="S145" i="2"/>
  <c r="O145" i="2"/>
  <c r="P145" i="2"/>
  <c r="T144" i="2"/>
  <c r="S144" i="2"/>
  <c r="O144" i="2"/>
  <c r="P144" i="2"/>
  <c r="O143" i="2"/>
  <c r="P143" i="2"/>
  <c r="O142" i="2"/>
  <c r="P142" i="2"/>
  <c r="T139" i="2"/>
  <c r="S139" i="2"/>
  <c r="O139" i="2"/>
  <c r="P139" i="2"/>
  <c r="T138" i="2"/>
  <c r="S138" i="2"/>
  <c r="O138" i="2"/>
  <c r="P138" i="2"/>
  <c r="O137" i="2"/>
  <c r="P137" i="2"/>
  <c r="O136" i="2"/>
  <c r="P136" i="2"/>
  <c r="O135" i="2"/>
  <c r="P135" i="2"/>
  <c r="O134" i="2"/>
  <c r="P134" i="2"/>
  <c r="O133" i="2"/>
  <c r="P133" i="2"/>
  <c r="O132" i="2"/>
  <c r="P132" i="2"/>
  <c r="O129" i="2"/>
  <c r="P129" i="2"/>
  <c r="O128" i="2"/>
  <c r="P128" i="2"/>
  <c r="O127" i="2"/>
  <c r="P127" i="2"/>
  <c r="O126" i="2"/>
  <c r="P126" i="2"/>
  <c r="O125" i="2"/>
  <c r="P125" i="2"/>
  <c r="O124" i="2"/>
  <c r="P124" i="2"/>
  <c r="O123" i="2"/>
  <c r="P123" i="2"/>
  <c r="O122" i="2"/>
  <c r="P122" i="2"/>
  <c r="U99" i="2"/>
  <c r="T99" i="2"/>
  <c r="S99" i="2"/>
  <c r="D99" i="2"/>
  <c r="U98" i="2"/>
  <c r="T98" i="2"/>
  <c r="S98" i="2"/>
  <c r="D98" i="2"/>
  <c r="U97" i="2"/>
  <c r="T97" i="2"/>
  <c r="S97" i="2"/>
  <c r="D97" i="2"/>
  <c r="U96" i="2"/>
  <c r="T96" i="2"/>
  <c r="S96" i="2"/>
  <c r="D96" i="2"/>
  <c r="U95" i="2"/>
  <c r="T95" i="2"/>
  <c r="S95" i="2"/>
  <c r="D95" i="2"/>
  <c r="U94" i="2"/>
  <c r="T94" i="2"/>
  <c r="S94" i="2"/>
  <c r="D94" i="2"/>
  <c r="O93" i="2"/>
  <c r="P93" i="2"/>
  <c r="O92" i="2"/>
  <c r="P92" i="2"/>
  <c r="T89" i="2"/>
  <c r="S89" i="2"/>
  <c r="O89" i="2"/>
  <c r="P89" i="2"/>
  <c r="T88" i="2"/>
  <c r="S88" i="2"/>
  <c r="O88" i="2"/>
  <c r="P88" i="2"/>
  <c r="T87" i="2"/>
  <c r="S87" i="2"/>
  <c r="O87" i="2"/>
  <c r="P87" i="2"/>
  <c r="T86" i="2"/>
  <c r="S86" i="2"/>
  <c r="O86" i="2"/>
  <c r="P86" i="2"/>
  <c r="T85" i="2"/>
  <c r="S85" i="2"/>
  <c r="O85" i="2"/>
  <c r="P85" i="2"/>
  <c r="T84" i="2"/>
  <c r="S84" i="2"/>
  <c r="O84" i="2"/>
  <c r="P84" i="2"/>
  <c r="O83" i="2"/>
  <c r="P83" i="2"/>
  <c r="O82" i="2"/>
  <c r="P82" i="2"/>
  <c r="S79" i="2"/>
  <c r="J79" i="2"/>
  <c r="L79" i="2"/>
  <c r="O79" i="2"/>
  <c r="P79" i="2"/>
  <c r="T78" i="2"/>
  <c r="S78" i="2"/>
  <c r="J78" i="2"/>
  <c r="L78" i="2"/>
  <c r="O78" i="2"/>
  <c r="P78" i="2"/>
  <c r="T77" i="2"/>
  <c r="S77" i="2"/>
  <c r="J77" i="2"/>
  <c r="L77" i="2"/>
  <c r="O77" i="2"/>
  <c r="P77" i="2"/>
  <c r="T76" i="2"/>
  <c r="S76" i="2"/>
  <c r="J76" i="2"/>
  <c r="L76" i="2"/>
  <c r="O76" i="2"/>
  <c r="P76" i="2"/>
  <c r="T75" i="2"/>
  <c r="S75" i="2"/>
  <c r="J75" i="2"/>
  <c r="L75" i="2"/>
  <c r="O75" i="2"/>
  <c r="P75" i="2"/>
  <c r="T74" i="2"/>
  <c r="S74" i="2"/>
  <c r="J74" i="2"/>
  <c r="L74" i="2"/>
  <c r="O74" i="2"/>
  <c r="P74" i="2"/>
  <c r="J73" i="2"/>
  <c r="L73" i="2"/>
  <c r="O73" i="2"/>
  <c r="P73" i="2"/>
  <c r="J72" i="2"/>
  <c r="L72" i="2"/>
  <c r="O72" i="2"/>
  <c r="P72" i="2"/>
  <c r="J59" i="2"/>
  <c r="L59" i="2"/>
  <c r="O59" i="2"/>
  <c r="P59" i="2"/>
  <c r="J58" i="2"/>
  <c r="L58" i="2"/>
  <c r="O58" i="2"/>
  <c r="P58" i="2"/>
  <c r="J57" i="2"/>
  <c r="L57" i="2"/>
  <c r="O57" i="2"/>
  <c r="P57" i="2"/>
  <c r="J56" i="2"/>
  <c r="L56" i="2"/>
  <c r="O56" i="2"/>
  <c r="P56" i="2"/>
  <c r="J55" i="2"/>
  <c r="L55" i="2"/>
  <c r="O55" i="2"/>
  <c r="P55" i="2"/>
  <c r="J54" i="2"/>
  <c r="L54" i="2"/>
  <c r="O54" i="2"/>
  <c r="P54" i="2"/>
  <c r="J53" i="2"/>
  <c r="L53" i="2"/>
  <c r="O53" i="2"/>
  <c r="P53" i="2"/>
  <c r="J52" i="2"/>
  <c r="L52" i="2"/>
  <c r="O52" i="2"/>
  <c r="P52" i="2"/>
  <c r="T38" i="2"/>
  <c r="S38" i="2"/>
  <c r="J38" i="2"/>
  <c r="L38" i="2"/>
  <c r="O38" i="2"/>
  <c r="P38" i="2"/>
  <c r="T37" i="2"/>
  <c r="S37" i="2"/>
  <c r="J37" i="2"/>
  <c r="L37" i="2"/>
  <c r="O37" i="2"/>
  <c r="P37" i="2"/>
  <c r="T36" i="2"/>
  <c r="S36" i="2"/>
  <c r="J36" i="2"/>
  <c r="L36" i="2"/>
  <c r="O36" i="2"/>
  <c r="P36" i="2"/>
  <c r="T35" i="2"/>
  <c r="S35" i="2"/>
  <c r="J35" i="2"/>
  <c r="L35" i="2"/>
  <c r="O35" i="2"/>
  <c r="P35" i="2"/>
  <c r="T34" i="2"/>
  <c r="S34" i="2"/>
  <c r="J34" i="2"/>
  <c r="L34" i="2"/>
  <c r="O34" i="2"/>
  <c r="P34" i="2"/>
  <c r="J33" i="2"/>
  <c r="L33" i="2"/>
  <c r="O33" i="2"/>
  <c r="P33" i="2"/>
  <c r="J32" i="2"/>
  <c r="L32" i="2"/>
  <c r="O32" i="2"/>
  <c r="P32" i="2"/>
  <c r="T29" i="2"/>
  <c r="S29" i="2"/>
  <c r="D29" i="2"/>
  <c r="J29" i="2"/>
  <c r="L29" i="2"/>
  <c r="O29" i="2"/>
  <c r="P29" i="2"/>
  <c r="T28" i="2"/>
  <c r="S28" i="2"/>
  <c r="D28" i="2"/>
  <c r="J28" i="2"/>
  <c r="L28" i="2"/>
  <c r="O28" i="2"/>
  <c r="P28" i="2"/>
  <c r="T27" i="2"/>
  <c r="S27" i="2"/>
  <c r="D27" i="2"/>
  <c r="J27" i="2"/>
  <c r="L27" i="2"/>
  <c r="O27" i="2"/>
  <c r="P27" i="2"/>
  <c r="T26" i="2"/>
  <c r="S26" i="2"/>
  <c r="T25" i="2"/>
  <c r="S25" i="2"/>
  <c r="T24" i="2"/>
  <c r="S24" i="2"/>
  <c r="S18" i="2"/>
  <c r="T17" i="2"/>
  <c r="S17" i="2"/>
  <c r="T16" i="2"/>
  <c r="S16" i="2"/>
  <c r="T15" i="2"/>
  <c r="S15" i="2"/>
  <c r="T14" i="2"/>
  <c r="S14" i="2"/>
  <c r="I10" i="2"/>
  <c r="F10" i="2"/>
  <c r="T8" i="2"/>
  <c r="S8" i="2"/>
  <c r="D8" i="2"/>
  <c r="J8" i="2"/>
  <c r="L8" i="2"/>
  <c r="O8" i="2"/>
  <c r="P8" i="2"/>
  <c r="AB7" i="2"/>
  <c r="AF8" i="2"/>
  <c r="T7" i="2"/>
  <c r="S7" i="2"/>
  <c r="D7" i="2"/>
  <c r="J7" i="2"/>
  <c r="L7" i="2"/>
  <c r="O7" i="2"/>
  <c r="P7" i="2"/>
  <c r="T6" i="2"/>
  <c r="S6" i="2"/>
  <c r="D6" i="2"/>
  <c r="J6" i="2"/>
  <c r="L6" i="2"/>
  <c r="O6" i="2"/>
  <c r="P6" i="2"/>
  <c r="T5" i="2"/>
  <c r="S5" i="2"/>
  <c r="D5" i="2"/>
  <c r="J5" i="2"/>
  <c r="L5" i="2"/>
  <c r="O5" i="2"/>
  <c r="P5" i="2"/>
  <c r="T4" i="2"/>
  <c r="S4" i="2"/>
  <c r="D4" i="2"/>
  <c r="J4" i="2"/>
  <c r="L4" i="2"/>
  <c r="O4" i="2"/>
  <c r="P4" i="2"/>
  <c r="AA3" i="2"/>
  <c r="AF16" i="2"/>
  <c r="AE16" i="2"/>
  <c r="AB16" i="2"/>
  <c r="AC16" i="2"/>
  <c r="AD16" i="2"/>
  <c r="AE8" i="2"/>
  <c r="AD8" i="2"/>
  <c r="AC8" i="2"/>
  <c r="AB8" i="2"/>
  <c r="J98" i="2"/>
  <c r="L98" i="2"/>
  <c r="O98" i="2"/>
  <c r="P98" i="2"/>
  <c r="J96" i="2"/>
  <c r="L96" i="2"/>
  <c r="O96" i="2"/>
  <c r="P96" i="2"/>
  <c r="J99" i="2"/>
  <c r="L99" i="2"/>
  <c r="O99" i="2"/>
  <c r="P99" i="2"/>
  <c r="J94" i="2"/>
  <c r="L94" i="2"/>
  <c r="O94" i="2"/>
  <c r="P94" i="2"/>
  <c r="J97" i="2"/>
  <c r="L97" i="2"/>
  <c r="O97" i="2"/>
  <c r="P97" i="2"/>
  <c r="J95" i="2"/>
  <c r="L95" i="2"/>
  <c r="O95" i="2"/>
  <c r="P95" i="2"/>
  <c r="J10" i="2"/>
  <c r="L10" i="2"/>
  <c r="O10" i="2"/>
  <c r="P10" i="2"/>
  <c r="J9" i="2"/>
  <c r="L9" i="2"/>
  <c r="O9" i="2"/>
  <c r="P9" i="2"/>
  <c r="AF9" i="2"/>
  <c r="AB9" i="2"/>
  <c r="AC9" i="2"/>
  <c r="AD9" i="2"/>
  <c r="AE9" i="2"/>
  <c r="AF10" i="2"/>
  <c r="AC10" i="2"/>
  <c r="AE10" i="2"/>
  <c r="AD10" i="2"/>
  <c r="AB10" i="2"/>
  <c r="AF11" i="2"/>
  <c r="AB11" i="2"/>
  <c r="AC11" i="2"/>
  <c r="AE11" i="2"/>
  <c r="AD11" i="2"/>
</calcChain>
</file>

<file path=xl/comments1.xml><?xml version="1.0" encoding="utf-8"?>
<comments xmlns="http://schemas.openxmlformats.org/spreadsheetml/2006/main">
  <authors>
    <author>yoksua</author>
    <author>Danny Quijano</author>
  </authors>
  <commentList>
    <comment ref="I9" authorId="0" shapeId="0">
      <text>
        <r>
          <rPr>
            <b/>
            <sz val="9"/>
            <color indexed="81"/>
            <rFont val="Tahoma"/>
            <family val="2"/>
          </rPr>
          <t>Danny
G&amp;A + Marketing from IS</t>
        </r>
      </text>
    </comment>
    <comment ref="E10" authorId="1" shapeId="0">
      <text>
        <r>
          <rPr>
            <b/>
            <sz val="9"/>
            <color indexed="81"/>
            <rFont val="Tahoma"/>
            <family val="2"/>
          </rPr>
          <t>Danny Quijano:</t>
        </r>
        <r>
          <rPr>
            <sz val="9"/>
            <color indexed="81"/>
            <rFont val="Tahoma"/>
            <family val="2"/>
          </rPr>
          <t xml:space="preserve">
Gathering processing and Marketing Sales</t>
        </r>
      </text>
    </comment>
    <comment ref="F10" authorId="1" shapeId="0">
      <text>
        <r>
          <rPr>
            <b/>
            <sz val="9"/>
            <color indexed="81"/>
            <rFont val="Tahoma"/>
            <family val="2"/>
          </rPr>
          <t>Danny Quijano:</t>
        </r>
        <r>
          <rPr>
            <sz val="9"/>
            <color indexed="81"/>
            <rFont val="Tahoma"/>
            <family val="2"/>
          </rPr>
          <t xml:space="preserve">
OG Operating, OG Transportation, Other operating
</t>
        </r>
      </text>
    </comment>
    <comment ref="G10" authorId="1" shapeId="0">
      <text>
        <r>
          <rPr>
            <b/>
            <sz val="9"/>
            <color indexed="81"/>
            <rFont val="Tahoma"/>
            <family val="2"/>
          </rPr>
          <t>Danny Quijano:</t>
        </r>
        <r>
          <rPr>
            <sz val="9"/>
            <color indexed="81"/>
            <rFont val="Tahoma"/>
            <family val="2"/>
          </rPr>
          <t xml:space="preserve">
from supplementals</t>
        </r>
      </text>
    </comment>
    <comment ref="K10" authorId="1" shapeId="0">
      <text>
        <r>
          <rPr>
            <b/>
            <sz val="9"/>
            <color indexed="81"/>
            <rFont val="Tahoma"/>
            <family val="2"/>
          </rPr>
          <t>Danny Quijano:</t>
        </r>
        <r>
          <rPr>
            <sz val="9"/>
            <color indexed="81"/>
            <rFont val="Tahoma"/>
            <family val="2"/>
          </rPr>
          <t xml:space="preserve">
This is Upstream only. Need to go back and make the other numbers upstream only as well</t>
        </r>
      </text>
    </comment>
    <comment ref="M10" authorId="1" shapeId="0">
      <text>
        <r>
          <rPr>
            <b/>
            <sz val="9"/>
            <color indexed="81"/>
            <rFont val="Tahoma"/>
            <family val="2"/>
          </rPr>
          <t>Danny Quijano:</t>
        </r>
        <r>
          <rPr>
            <sz val="9"/>
            <color indexed="81"/>
            <rFont val="Tahoma"/>
            <family val="2"/>
          </rPr>
          <t xml:space="preserve">
Current Debt, Long term, and other</t>
        </r>
      </text>
    </comment>
    <comment ref="N10" authorId="1" shapeId="0">
      <text>
        <r>
          <rPr>
            <b/>
            <sz val="9"/>
            <color indexed="81"/>
            <rFont val="Tahoma"/>
            <family val="2"/>
          </rPr>
          <t>Danny Quijano:</t>
        </r>
        <r>
          <rPr>
            <sz val="9"/>
            <color indexed="81"/>
            <rFont val="Tahoma"/>
            <family val="2"/>
          </rPr>
          <t xml:space="preserve">
Cash paid, net of refunds
</t>
        </r>
      </text>
    </comment>
    <comment ref="F19" authorId="0" shapeId="0">
      <text>
        <r>
          <rPr>
            <sz val="9"/>
            <color indexed="81"/>
            <rFont val="Tahoma"/>
            <family val="2"/>
          </rPr>
          <t>LOE + Gathering and Transport</t>
        </r>
      </text>
    </comment>
    <comment ref="K19" authorId="0" shapeId="0">
      <text>
        <r>
          <rPr>
            <b/>
            <sz val="9"/>
            <color indexed="81"/>
            <rFont val="Tahoma"/>
            <family val="2"/>
          </rPr>
          <t xml:space="preserve">Danny
Bernstein only used 'recurring' DD&amp;A. However, there is very significat amount of 'Additional' and 'Other'
</t>
        </r>
      </text>
    </comment>
    <comment ref="M19" authorId="1" shapeId="0">
      <text>
        <r>
          <rPr>
            <b/>
            <sz val="9"/>
            <color indexed="81"/>
            <rFont val="Tahoma"/>
            <family val="2"/>
          </rPr>
          <t>Danny Quijano:</t>
        </r>
        <r>
          <rPr>
            <sz val="9"/>
            <color indexed="81"/>
            <rFont val="Tahoma"/>
            <family val="2"/>
          </rPr>
          <t xml:space="preserve">
In the notes they start with Interest expense and adjust fo get to 'Total Financing costs, net' by deducting/adding amort. Of deferred loan costs, cap. Int., and Int. income. This is interest expense.</t>
        </r>
      </text>
    </comment>
    <comment ref="B20" authorId="1" shapeId="0">
      <text>
        <r>
          <rPr>
            <b/>
            <sz val="9"/>
            <color indexed="81"/>
            <rFont val="Tahoma"/>
            <family val="2"/>
          </rPr>
          <t>Danny Quijano:</t>
        </r>
        <r>
          <rPr>
            <sz val="9"/>
            <color indexed="81"/>
            <rFont val="Tahoma"/>
            <family val="2"/>
          </rPr>
          <t xml:space="preserve">
Numbers changed between '14 10-k and '15. Adjustments fo divestitures?</t>
        </r>
      </text>
    </comment>
    <comment ref="G20" authorId="1" shapeId="0">
      <text>
        <r>
          <rPr>
            <b/>
            <sz val="9"/>
            <color indexed="81"/>
            <rFont val="Tahoma"/>
            <family val="2"/>
          </rPr>
          <t>Danny Quijano:</t>
        </r>
        <r>
          <rPr>
            <sz val="9"/>
            <color indexed="81"/>
            <rFont val="Tahoma"/>
            <family val="2"/>
          </rPr>
          <t xml:space="preserve">
'Production Taxes'</t>
        </r>
      </text>
    </comment>
    <comment ref="F29" authorId="0" shapeId="0">
      <text>
        <r>
          <rPr>
            <b/>
            <sz val="9"/>
            <color indexed="81"/>
            <rFont val="Tahoma"/>
            <family val="2"/>
          </rPr>
          <t>Danny
Direct Operating + Transport and Gathering</t>
        </r>
      </text>
    </comment>
    <comment ref="M30" authorId="1" shapeId="0">
      <text>
        <r>
          <rPr>
            <b/>
            <sz val="9"/>
            <color indexed="81"/>
            <rFont val="Tahoma"/>
            <family val="2"/>
          </rPr>
          <t>Danny Quijano:</t>
        </r>
        <r>
          <rPr>
            <sz val="9"/>
            <color indexed="81"/>
            <rFont val="Tahoma"/>
            <family val="2"/>
          </rPr>
          <t xml:space="preserve">
See cell reference. Calculated by adding up info in notes. 
Amount of principle for revolver is calculated as an average from current and previous year. Interest rate on credit facility is usually in the last (or penultimate) bullet in the note on Debt and credit agreements</t>
        </r>
      </text>
    </comment>
    <comment ref="D39" authorId="1" shapeId="0">
      <text>
        <r>
          <rPr>
            <b/>
            <sz val="9"/>
            <color indexed="81"/>
            <rFont val="Tahoma"/>
            <family val="2"/>
          </rPr>
          <t>Danny Quijano:</t>
        </r>
        <r>
          <rPr>
            <sz val="9"/>
            <color indexed="81"/>
            <rFont val="Tahoma"/>
            <family val="2"/>
          </rPr>
          <t xml:space="preserve">
Was 8,180 in 2014 and 7,052 in 2013 but it was adjusted in 2015 because of 'Reclassification of oil, natural gas and NGL gathering, processing and transportation expenses'</t>
        </r>
      </text>
    </comment>
    <comment ref="F39" authorId="0" shapeId="0">
      <text>
        <r>
          <rPr>
            <b/>
            <sz val="9"/>
            <color indexed="81"/>
            <rFont val="Tahoma"/>
            <family val="2"/>
          </rPr>
          <t xml:space="preserve">Danny
</t>
        </r>
        <r>
          <rPr>
            <sz val="9"/>
            <color indexed="81"/>
            <rFont val="Tahoma"/>
            <family val="2"/>
          </rPr>
          <t xml:space="preserve">It's different in the 2015 report than previous ones because of the note in cell D36. It looks like they had been taking transportation expenses (and something else) out of revenues previously.
</t>
        </r>
      </text>
    </comment>
    <comment ref="I39" authorId="0" shapeId="0">
      <text>
        <r>
          <rPr>
            <b/>
            <sz val="9"/>
            <color indexed="81"/>
            <rFont val="Tahoma"/>
            <family val="2"/>
          </rPr>
          <t xml:space="preserve">Danny
</t>
        </r>
        <r>
          <rPr>
            <sz val="9"/>
            <color indexed="81"/>
            <rFont val="Tahoma"/>
            <family val="2"/>
          </rPr>
          <t>Marketing, Gathering, and Compression + G&amp;A</t>
        </r>
      </text>
    </comment>
    <comment ref="E40" authorId="1" shapeId="0">
      <text>
        <r>
          <rPr>
            <b/>
            <sz val="9"/>
            <color indexed="81"/>
            <rFont val="Tahoma"/>
            <family val="2"/>
          </rPr>
          <t>Danny Quijano:</t>
        </r>
        <r>
          <rPr>
            <sz val="9"/>
            <color indexed="81"/>
            <rFont val="Tahoma"/>
            <family val="2"/>
          </rPr>
          <t xml:space="preserve">
Marketing + Oil field service revenues  included (column V)</t>
        </r>
      </text>
    </comment>
    <comment ref="G40" authorId="1" shapeId="0">
      <text>
        <r>
          <rPr>
            <b/>
            <sz val="9"/>
            <color indexed="81"/>
            <rFont val="Tahoma"/>
            <family val="2"/>
          </rPr>
          <t>Danny Quijano:</t>
        </r>
        <r>
          <rPr>
            <sz val="9"/>
            <color indexed="81"/>
            <rFont val="Tahoma"/>
            <family val="2"/>
          </rPr>
          <t xml:space="preserve">
Actually called production taxes</t>
        </r>
      </text>
    </comment>
    <comment ref="M40" authorId="1" shapeId="0">
      <text>
        <r>
          <rPr>
            <b/>
            <sz val="9"/>
            <color indexed="81"/>
            <rFont val="Tahoma"/>
            <family val="2"/>
          </rPr>
          <t>Danny Quijano:</t>
        </r>
        <r>
          <rPr>
            <sz val="9"/>
            <color indexed="81"/>
            <rFont val="Tahoma"/>
            <family val="2"/>
          </rPr>
          <t xml:space="preserve">
Interest expense on senior notes + interest expense on Credit facilities + Interest Expense on Term Loan</t>
        </r>
      </text>
    </comment>
    <comment ref="W41" authorId="0" shapeId="0">
      <text>
        <r>
          <rPr>
            <b/>
            <sz val="9"/>
            <color indexed="81"/>
            <rFont val="Tahoma"/>
            <family val="2"/>
          </rPr>
          <t xml:space="preserve">Danny:
</t>
        </r>
        <r>
          <rPr>
            <sz val="9"/>
            <color indexed="81"/>
            <rFont val="Tahoma"/>
            <family val="2"/>
          </rPr>
          <t>From notes: 
"Our oilfield services consisted of third-party revenues and expenses related to our former oilfield services operations and excluded depreciation and amortization, general and administrative expenses, impairments of fixed assets and other, net gains or losses on sales of fixed assets and interest expense."
"As a result of the spin-off of our oilfield services business in June 2014, we did not have oilfield services revenues and expenses in 2016 and 2015."</t>
        </r>
      </text>
    </comment>
    <comment ref="F50" authorId="1" shapeId="0">
      <text>
        <r>
          <rPr>
            <b/>
            <sz val="9"/>
            <color indexed="81"/>
            <rFont val="Tahoma"/>
            <family val="2"/>
          </rPr>
          <t>Danny Quijano:</t>
        </r>
        <r>
          <rPr>
            <sz val="9"/>
            <color indexed="81"/>
            <rFont val="Tahoma"/>
            <family val="2"/>
          </rPr>
          <t xml:space="preserve">
Includes LOE + Workover costs + Ad Velorem and Production taxes which have been taken out and put in appropriate column
</t>
        </r>
      </text>
    </comment>
    <comment ref="I50" authorId="1" shapeId="0">
      <text>
        <r>
          <rPr>
            <b/>
            <sz val="9"/>
            <color indexed="81"/>
            <rFont val="Tahoma"/>
            <family val="2"/>
          </rPr>
          <t>Danny Quijano:</t>
        </r>
        <r>
          <rPr>
            <sz val="9"/>
            <color indexed="81"/>
            <rFont val="Tahoma"/>
            <family val="2"/>
          </rPr>
          <t xml:space="preserve">
including non-cash stock-based compensation</t>
        </r>
      </text>
    </comment>
    <comment ref="M50" authorId="1" shapeId="0">
      <text>
        <r>
          <rPr>
            <b/>
            <sz val="9"/>
            <color indexed="81"/>
            <rFont val="Tahoma"/>
            <family val="2"/>
          </rPr>
          <t>Danny Quijano:</t>
        </r>
        <r>
          <rPr>
            <sz val="9"/>
            <color indexed="81"/>
            <rFont val="Tahoma"/>
            <family val="2"/>
          </rPr>
          <t xml:space="preserve">
Note on Debt: Cash apyments for interest (this is a line item that does not include cap int)</t>
        </r>
      </text>
    </comment>
    <comment ref="T51" authorId="0" shapeId="0">
      <text>
        <r>
          <rPr>
            <b/>
            <sz val="9"/>
            <color indexed="81"/>
            <rFont val="Tahoma"/>
            <family val="2"/>
          </rPr>
          <t>Danny:</t>
        </r>
        <r>
          <rPr>
            <sz val="9"/>
            <color indexed="81"/>
            <rFont val="Tahoma"/>
            <family val="2"/>
          </rPr>
          <t xml:space="preserve">
Huge change from previous year because the line item "Net settlements received from derivatives" appears in 2017 10-k (which I updated per new data), but not in 2016 one. This adds over M$632 to 2015 CF (from 2016 10-k).
Previous amount for 2015 row was 897.505</t>
        </r>
      </text>
    </comment>
    <comment ref="D54" authorId="1" shapeId="0">
      <text>
        <r>
          <rPr>
            <b/>
            <sz val="9"/>
            <color indexed="81"/>
            <rFont val="Tahoma"/>
            <family val="2"/>
          </rPr>
          <t>Danny Quijano:</t>
        </r>
        <r>
          <rPr>
            <sz val="9"/>
            <color indexed="81"/>
            <rFont val="Tahoma"/>
            <family val="2"/>
          </rPr>
          <t xml:space="preserve">
I got 2009 data from 2011 10-k. This is the last time they didn't report revenue by product. By comparison it looks like summing US and International revenues in the "Sales and Other Operating Revenues" section just about equals revenues reported on later 10-k's. This ignores the intersegment eliminations on the 2011 10-k.</t>
        </r>
      </text>
    </comment>
    <comment ref="F59" authorId="1" shapeId="0">
      <text>
        <r>
          <rPr>
            <b/>
            <sz val="9"/>
            <color indexed="81"/>
            <rFont val="Tahoma"/>
            <family val="2"/>
          </rPr>
          <t>Danny Quijano:</t>
        </r>
        <r>
          <rPr>
            <sz val="9"/>
            <color indexed="81"/>
            <rFont val="Tahoma"/>
            <family val="2"/>
          </rPr>
          <t xml:space="preserve">
Production costs + Transportation + Other related expenses
</t>
        </r>
      </text>
    </comment>
    <comment ref="M60" authorId="1" shapeId="0">
      <text>
        <r>
          <rPr>
            <b/>
            <sz val="9"/>
            <color indexed="81"/>
            <rFont val="Tahoma"/>
            <family val="2"/>
          </rPr>
          <t>Danny Quijano:</t>
        </r>
        <r>
          <rPr>
            <sz val="9"/>
            <color indexed="81"/>
            <rFont val="Tahoma"/>
            <family val="2"/>
          </rPr>
          <t xml:space="preserve">
"Interest and Debt Expense" Incurred (debt and other)</t>
        </r>
      </text>
    </comment>
    <comment ref="D70" authorId="1" shapeId="0">
      <text>
        <r>
          <rPr>
            <b/>
            <sz val="9"/>
            <color indexed="81"/>
            <rFont val="Tahoma"/>
            <family val="2"/>
          </rPr>
          <t>Danny Quijano:</t>
        </r>
        <r>
          <rPr>
            <sz val="9"/>
            <color indexed="81"/>
            <rFont val="Tahoma"/>
            <family val="2"/>
          </rPr>
          <t xml:space="preserve">
Supplementals (this is more than the 'oil and gas sales' figure in IS)</t>
        </r>
      </text>
    </comment>
    <comment ref="E70" authorId="1" shapeId="0">
      <text>
        <r>
          <rPr>
            <b/>
            <sz val="9"/>
            <color indexed="81"/>
            <rFont val="Tahoma"/>
            <family val="2"/>
          </rPr>
          <t>Danny Quijano:</t>
        </r>
        <r>
          <rPr>
            <sz val="9"/>
            <color indexed="81"/>
            <rFont val="Tahoma"/>
            <family val="2"/>
          </rPr>
          <t xml:space="preserve">
Crude oil and natural gas service operations (from IS)</t>
        </r>
      </text>
    </comment>
    <comment ref="M81" authorId="0" shapeId="0">
      <text>
        <r>
          <rPr>
            <b/>
            <sz val="9"/>
            <color indexed="81"/>
            <rFont val="Tahoma"/>
            <family val="2"/>
          </rPr>
          <t>Danny:</t>
        </r>
        <r>
          <rPr>
            <sz val="9"/>
            <color indexed="81"/>
            <rFont val="Tahoma"/>
            <family val="2"/>
          </rPr>
          <t xml:space="preserve">
Interest based on debt outstanding
</t>
        </r>
      </text>
    </comment>
    <comment ref="U89" authorId="1" shapeId="0">
      <text>
        <r>
          <rPr>
            <b/>
            <sz val="9"/>
            <color indexed="81"/>
            <rFont val="Tahoma"/>
            <family val="2"/>
          </rPr>
          <t>Danny Quijano:</t>
        </r>
        <r>
          <rPr>
            <sz val="9"/>
            <color indexed="81"/>
            <rFont val="Tahoma"/>
            <family val="2"/>
          </rPr>
          <t xml:space="preserve">
Acquisition of Athlon</t>
        </r>
      </text>
    </comment>
    <comment ref="D90" authorId="1" shapeId="0">
      <text>
        <r>
          <rPr>
            <b/>
            <sz val="9"/>
            <color indexed="81"/>
            <rFont val="Tahoma"/>
            <family val="2"/>
          </rPr>
          <t>Danny Quijano:</t>
        </r>
        <r>
          <rPr>
            <sz val="9"/>
            <color indexed="81"/>
            <rFont val="Tahoma"/>
            <family val="2"/>
          </rPr>
          <t xml:space="preserve">
Sum of US and Canada operations in segemnted info. Other segment is "Market Optimization:" activities include third party purchases and sales of product to provide operational flexibility and cost mitigation for transportation commitments, product type, delivery points and customer diversification</t>
        </r>
      </text>
    </comment>
    <comment ref="M90" authorId="1" shapeId="0">
      <text>
        <r>
          <rPr>
            <b/>
            <sz val="9"/>
            <color indexed="81"/>
            <rFont val="Tahoma"/>
            <family val="2"/>
          </rPr>
          <t>Danny Quijano:</t>
        </r>
        <r>
          <rPr>
            <sz val="9"/>
            <color indexed="81"/>
            <rFont val="Tahoma"/>
            <family val="2"/>
          </rPr>
          <t xml:space="preserve">
Supplementary cash flow info</t>
        </r>
      </text>
    </comment>
    <comment ref="F99" authorId="1" shapeId="0">
      <text>
        <r>
          <rPr>
            <b/>
            <sz val="9"/>
            <color indexed="81"/>
            <rFont val="Tahoma"/>
            <family val="2"/>
          </rPr>
          <t xml:space="preserve">Danny Quijano
</t>
        </r>
        <r>
          <rPr>
            <sz val="9"/>
            <color indexed="81"/>
            <rFont val="Tahoma"/>
            <family val="2"/>
          </rPr>
          <t>Transport and production costs</t>
        </r>
      </text>
    </comment>
    <comment ref="G99" authorId="1" shapeId="0">
      <text>
        <r>
          <rPr>
            <b/>
            <sz val="9"/>
            <color indexed="81"/>
            <rFont val="Tahoma"/>
            <family val="2"/>
          </rPr>
          <t>Danny Quijano:</t>
        </r>
        <r>
          <rPr>
            <sz val="9"/>
            <color indexed="81"/>
            <rFont val="Tahoma"/>
            <family val="2"/>
          </rPr>
          <t xml:space="preserve">
Company-wide, not in supplementals
</t>
        </r>
      </text>
    </comment>
    <comment ref="H99" authorId="0" shapeId="0">
      <text>
        <r>
          <rPr>
            <b/>
            <sz val="9"/>
            <color indexed="81"/>
            <rFont val="Tahoma"/>
            <family val="2"/>
          </rPr>
          <t>Exploration Costs + Dry Hole Costs</t>
        </r>
      </text>
    </comment>
    <comment ref="M100" authorId="1" shapeId="0">
      <text>
        <r>
          <rPr>
            <b/>
            <sz val="9"/>
            <color indexed="81"/>
            <rFont val="Tahoma"/>
            <family val="2"/>
          </rPr>
          <t>Danny Quijano:</t>
        </r>
        <r>
          <rPr>
            <sz val="9"/>
            <color indexed="81"/>
            <rFont val="Tahoma"/>
            <family val="2"/>
          </rPr>
          <t xml:space="preserve">
Interest Expense Incurred on Income Statement
</t>
        </r>
      </text>
    </comment>
    <comment ref="G105" authorId="1" shapeId="0">
      <text>
        <r>
          <rPr>
            <b/>
            <sz val="9"/>
            <color indexed="81"/>
            <rFont val="Tahoma"/>
            <family val="2"/>
          </rPr>
          <t>Danny Quijano:</t>
        </r>
        <r>
          <rPr>
            <sz val="9"/>
            <color indexed="81"/>
            <rFont val="Tahoma"/>
            <family val="2"/>
          </rPr>
          <t xml:space="preserve">
Included in production costs for '10&amp;'09
</t>
        </r>
      </text>
    </comment>
    <comment ref="D110" authorId="1" shapeId="0">
      <text>
        <r>
          <rPr>
            <b/>
            <sz val="9"/>
            <color indexed="81"/>
            <rFont val="Tahoma"/>
            <family val="2"/>
          </rPr>
          <t>Danny Quijano:</t>
        </r>
        <r>
          <rPr>
            <sz val="9"/>
            <color indexed="81"/>
            <rFont val="Tahoma"/>
            <family val="2"/>
          </rPr>
          <t xml:space="preserve">
Crude oil and ngl sales + natural gas sales (including sales of purchased gas)</t>
        </r>
      </text>
    </comment>
    <comment ref="I110" authorId="1" shapeId="0">
      <text>
        <r>
          <rPr>
            <b/>
            <sz val="9"/>
            <color indexed="81"/>
            <rFont val="Tahoma"/>
            <family val="2"/>
          </rPr>
          <t>Danny Quijano:</t>
        </r>
        <r>
          <rPr>
            <sz val="9"/>
            <color indexed="81"/>
            <rFont val="Tahoma"/>
            <family val="2"/>
          </rPr>
          <t xml:space="preserve">
G&amp;A + Bakken Misdstream Tariffs</t>
        </r>
      </text>
    </comment>
    <comment ref="M110" authorId="1" shapeId="0">
      <text>
        <r>
          <rPr>
            <b/>
            <sz val="9"/>
            <color indexed="81"/>
            <rFont val="Tahoma"/>
            <family val="2"/>
          </rPr>
          <t>Danny Quijano:</t>
        </r>
        <r>
          <rPr>
            <sz val="9"/>
            <color indexed="81"/>
            <rFont val="Tahoma"/>
            <family val="2"/>
          </rPr>
          <t xml:space="preserve">
Corporate, Interest and Other under results of operations</t>
        </r>
      </text>
    </comment>
    <comment ref="E115" authorId="1" shapeId="0">
      <text>
        <r>
          <rPr>
            <b/>
            <sz val="9"/>
            <color indexed="81"/>
            <rFont val="Tahoma"/>
            <family val="2"/>
          </rPr>
          <t>Danny Quijano:</t>
        </r>
        <r>
          <rPr>
            <sz val="9"/>
            <color indexed="81"/>
            <rFont val="Tahoma"/>
            <family val="2"/>
          </rPr>
          <t xml:space="preserve">
Since reporting changed and "Sales and other operating revenues" seems to include everything, I go this and subtracted it from column D</t>
        </r>
      </text>
    </comment>
    <comment ref="E120" authorId="1" shapeId="0">
      <text>
        <r>
          <rPr>
            <b/>
            <sz val="9"/>
            <color indexed="81"/>
            <rFont val="Tahoma"/>
            <family val="2"/>
          </rPr>
          <t>Danny Quijano:</t>
        </r>
        <r>
          <rPr>
            <sz val="9"/>
            <color indexed="81"/>
            <rFont val="Tahoma"/>
            <family val="2"/>
          </rPr>
          <t xml:space="preserve">
Marketing Revenues</t>
        </r>
      </text>
    </comment>
    <comment ref="G120" authorId="1" shapeId="0">
      <text>
        <r>
          <rPr>
            <b/>
            <sz val="9"/>
            <color indexed="81"/>
            <rFont val="Tahoma"/>
            <family val="2"/>
          </rPr>
          <t>Danny Quijano:</t>
        </r>
        <r>
          <rPr>
            <sz val="9"/>
            <color indexed="81"/>
            <rFont val="Tahoma"/>
            <family val="2"/>
          </rPr>
          <t xml:space="preserve">
Not listed in supplementals - In Production costs?
Could be because production costs in supplementals is LARGER than it is in income statement</t>
        </r>
      </text>
    </comment>
    <comment ref="H120" authorId="1" shapeId="0">
      <text>
        <r>
          <rPr>
            <b/>
            <sz val="9"/>
            <color indexed="81"/>
            <rFont val="Tahoma"/>
            <family val="2"/>
          </rPr>
          <t>Danny Quijano:</t>
        </r>
        <r>
          <rPr>
            <sz val="9"/>
            <color indexed="81"/>
            <rFont val="Tahoma"/>
            <family val="2"/>
          </rPr>
          <t xml:space="preserve">
Includes unproved property impairments</t>
        </r>
      </text>
    </comment>
    <comment ref="I120" authorId="1" shapeId="0">
      <text>
        <r>
          <rPr>
            <b/>
            <sz val="9"/>
            <color indexed="81"/>
            <rFont val="Tahoma"/>
            <family val="2"/>
          </rPr>
          <t>Danny Quijano:</t>
        </r>
        <r>
          <rPr>
            <sz val="9"/>
            <color indexed="81"/>
            <rFont val="Tahoma"/>
            <family val="2"/>
          </rPr>
          <t xml:space="preserve">
Marketing, including purchases from related parties + G&amp;A
</t>
        </r>
      </text>
    </comment>
    <comment ref="M120" authorId="1" shapeId="0">
      <text>
        <r>
          <rPr>
            <b/>
            <sz val="9"/>
            <color indexed="81"/>
            <rFont val="Tahoma"/>
            <family val="2"/>
          </rPr>
          <t>Danny Quijano:</t>
        </r>
        <r>
          <rPr>
            <sz val="9"/>
            <color indexed="81"/>
            <rFont val="Tahoma"/>
            <family val="2"/>
          </rPr>
          <t xml:space="preserve">
Interest Expense from notes</t>
        </r>
      </text>
    </comment>
    <comment ref="R120" authorId="1" shapeId="0">
      <text>
        <r>
          <rPr>
            <b/>
            <sz val="9"/>
            <color indexed="81"/>
            <rFont val="Tahoma"/>
            <family val="2"/>
          </rPr>
          <t>Danny Quijano:</t>
        </r>
        <r>
          <rPr>
            <sz val="9"/>
            <color indexed="81"/>
            <rFont val="Tahoma"/>
            <family val="2"/>
          </rPr>
          <t xml:space="preserve">
Why is total DD&amp;A less than upstream DD&amp;A?
</t>
        </r>
      </text>
    </comment>
    <comment ref="M127" authorId="1" shapeId="0">
      <text>
        <r>
          <rPr>
            <b/>
            <sz val="9"/>
            <color indexed="81"/>
            <rFont val="Tahoma"/>
            <family val="2"/>
          </rPr>
          <t>Danny Quijano:</t>
        </r>
        <r>
          <rPr>
            <sz val="9"/>
            <color indexed="81"/>
            <rFont val="Tahoma"/>
            <family val="2"/>
          </rPr>
          <t xml:space="preserve">
Highlighted cells do not add capitalized interest back in. That information is only discussed on the '15 10-k</t>
        </r>
      </text>
    </comment>
    <comment ref="F130" authorId="1" shapeId="0">
      <text>
        <r>
          <rPr>
            <b/>
            <sz val="9"/>
            <color indexed="81"/>
            <rFont val="Tahoma"/>
            <family val="2"/>
          </rPr>
          <t>Danny Quijano:</t>
        </r>
        <r>
          <rPr>
            <sz val="9"/>
            <color indexed="81"/>
            <rFont val="Tahoma"/>
            <family val="2"/>
          </rPr>
          <t xml:space="preserve">
Production costs + Other operating expenses</t>
        </r>
      </text>
    </comment>
    <comment ref="M130" authorId="1" shapeId="0">
      <text>
        <r>
          <rPr>
            <b/>
            <sz val="9"/>
            <color indexed="81"/>
            <rFont val="Tahoma"/>
            <family val="2"/>
          </rPr>
          <t>Danny Quijano:</t>
        </r>
        <r>
          <rPr>
            <sz val="9"/>
            <color indexed="81"/>
            <rFont val="Tahoma"/>
            <family val="2"/>
          </rPr>
          <t xml:space="preserve">
Capitalized Interest is in note 1: Summary of Significant accounting policies</t>
        </r>
      </text>
    </comment>
    <comment ref="N130" authorId="1" shapeId="0">
      <text>
        <r>
          <rPr>
            <b/>
            <sz val="9"/>
            <color indexed="81"/>
            <rFont val="Tahoma"/>
            <family val="2"/>
          </rPr>
          <t>Danny Quijano:</t>
        </r>
        <r>
          <rPr>
            <sz val="9"/>
            <color indexed="81"/>
            <rFont val="Tahoma"/>
            <family val="2"/>
          </rPr>
          <t xml:space="preserve">
Supplemental cash flow information, under note 1
</t>
        </r>
      </text>
    </comment>
    <comment ref="R130" authorId="1" shapeId="0">
      <text>
        <r>
          <rPr>
            <b/>
            <sz val="9"/>
            <color indexed="81"/>
            <rFont val="Tahoma"/>
            <family val="2"/>
          </rPr>
          <t>Danny Quijano:</t>
        </r>
        <r>
          <rPr>
            <sz val="9"/>
            <color indexed="81"/>
            <rFont val="Tahoma"/>
            <family val="2"/>
          </rPr>
          <t xml:space="preserve">
Revised up from 2014 10-k</t>
        </r>
      </text>
    </comment>
    <comment ref="T130" authorId="1" shapeId="0">
      <text>
        <r>
          <rPr>
            <b/>
            <sz val="9"/>
            <color indexed="81"/>
            <rFont val="Tahoma"/>
            <family val="2"/>
          </rPr>
          <t>Danny Quijano:</t>
        </r>
        <r>
          <rPr>
            <sz val="9"/>
            <color indexed="81"/>
            <rFont val="Tahoma"/>
            <family val="2"/>
          </rPr>
          <t xml:space="preserve">
Only CF from continuing operations
</t>
        </r>
      </text>
    </comment>
    <comment ref="F139" authorId="0" shapeId="0">
      <text>
        <r>
          <rPr>
            <b/>
            <sz val="9"/>
            <color indexed="81"/>
            <rFont val="Tahoma"/>
            <family val="2"/>
          </rPr>
          <t>Oil and Gas Production</t>
        </r>
      </text>
    </comment>
    <comment ref="M140" authorId="1" shapeId="0">
      <text>
        <r>
          <rPr>
            <b/>
            <sz val="9"/>
            <color indexed="81"/>
            <rFont val="Tahoma"/>
            <family val="2"/>
          </rPr>
          <t>Danny Quijano:</t>
        </r>
        <r>
          <rPr>
            <sz val="9"/>
            <color indexed="81"/>
            <rFont val="Tahoma"/>
            <family val="2"/>
          </rPr>
          <t xml:space="preserve">
Interest incurred</t>
        </r>
      </text>
    </comment>
    <comment ref="N140" authorId="1" shapeId="0">
      <text>
        <r>
          <rPr>
            <b/>
            <sz val="9"/>
            <color indexed="81"/>
            <rFont val="Tahoma"/>
            <family val="2"/>
          </rPr>
          <t>Danny Quijano:</t>
        </r>
        <r>
          <rPr>
            <sz val="9"/>
            <color indexed="81"/>
            <rFont val="Tahoma"/>
            <family val="2"/>
          </rPr>
          <t xml:space="preserve">
Current income taxes. Cash paid not available
</t>
        </r>
      </text>
    </comment>
    <comment ref="F149" authorId="0" shapeId="0">
      <text>
        <r>
          <rPr>
            <b/>
            <sz val="9"/>
            <color indexed="81"/>
            <rFont val="Tahoma"/>
            <family val="2"/>
          </rPr>
          <t>Direct Operating + Transport, Gathering, and Compression</t>
        </r>
      </text>
    </comment>
    <comment ref="I150" authorId="1" shapeId="0">
      <text>
        <r>
          <rPr>
            <b/>
            <sz val="9"/>
            <color indexed="81"/>
            <rFont val="Tahoma"/>
            <family val="2"/>
          </rPr>
          <t>Danny Quijano:</t>
        </r>
        <r>
          <rPr>
            <sz val="9"/>
            <color indexed="81"/>
            <rFont val="Tahoma"/>
            <family val="2"/>
          </rPr>
          <t xml:space="preserve">
G&amp;A + "Brokered Nat gas and Marketing"</t>
        </r>
      </text>
    </comment>
    <comment ref="M150" authorId="1" shapeId="0">
      <text>
        <r>
          <rPr>
            <b/>
            <sz val="9"/>
            <color indexed="81"/>
            <rFont val="Tahoma"/>
            <family val="2"/>
          </rPr>
          <t>Danny Quijano:</t>
        </r>
        <r>
          <rPr>
            <sz val="9"/>
            <color indexed="81"/>
            <rFont val="Tahoma"/>
            <family val="2"/>
          </rPr>
          <t xml:space="preserve">
Interest expense from income statement. RRC does not capitalize interest.</t>
        </r>
      </text>
    </comment>
    <comment ref="G159" authorId="1" shapeId="0">
      <text>
        <r>
          <rPr>
            <b/>
            <sz val="9"/>
            <color indexed="81"/>
            <rFont val="Tahoma"/>
            <family val="2"/>
          </rPr>
          <t>Danny Quijano:</t>
        </r>
        <r>
          <rPr>
            <sz val="9"/>
            <color indexed="81"/>
            <rFont val="Tahoma"/>
            <family val="2"/>
          </rPr>
          <t xml:space="preserve">
company-wide, not in supplementals
</t>
        </r>
      </text>
    </comment>
    <comment ref="M160" authorId="1" shapeId="0">
      <text>
        <r>
          <rPr>
            <b/>
            <sz val="9"/>
            <color indexed="81"/>
            <rFont val="Tahoma"/>
            <family val="2"/>
          </rPr>
          <t>Danny Quijano:</t>
        </r>
        <r>
          <rPr>
            <sz val="9"/>
            <color indexed="81"/>
            <rFont val="Tahoma"/>
            <family val="2"/>
          </rPr>
          <t xml:space="preserve">
Gross interest expense</t>
        </r>
      </text>
    </comment>
  </commentList>
</comments>
</file>

<file path=xl/comments2.xml><?xml version="1.0" encoding="utf-8"?>
<comments xmlns="http://schemas.openxmlformats.org/spreadsheetml/2006/main">
  <authors>
    <author>Danny Quijano</author>
    <author>yoksua</author>
  </authors>
  <commentList>
    <comment ref="N4" authorId="0" shapeId="0">
      <text>
        <r>
          <rPr>
            <b/>
            <sz val="9"/>
            <color indexed="81"/>
            <rFont val="Tahoma"/>
            <family val="2"/>
          </rPr>
          <t>Danny Quijano:</t>
        </r>
        <r>
          <rPr>
            <sz val="9"/>
            <color indexed="81"/>
            <rFont val="Tahoma"/>
            <family val="2"/>
          </rPr>
          <t xml:space="preserve">
Company paid this off so current debt outstanding on 7.33% senior note is 0. Assuming they did this throughout year so balance is average of 20,000 from previous year and 0.
</t>
        </r>
      </text>
    </comment>
    <comment ref="V8" authorId="0" shapeId="0">
      <text>
        <r>
          <rPr>
            <b/>
            <sz val="9"/>
            <color indexed="81"/>
            <rFont val="Tahoma"/>
            <family val="2"/>
          </rPr>
          <t>Danny Quijano:</t>
        </r>
        <r>
          <rPr>
            <sz val="9"/>
            <color indexed="81"/>
            <rFont val="Tahoma"/>
            <family val="2"/>
          </rPr>
          <t xml:space="preserve">
divided by 3 because the note was issued in september, so only paying interest on 4 months</t>
        </r>
      </text>
    </comment>
    <comment ref="B10" authorId="0" shapeId="0">
      <text>
        <r>
          <rPr>
            <b/>
            <sz val="9"/>
            <color indexed="81"/>
            <rFont val="Tahoma"/>
            <family val="2"/>
          </rPr>
          <t>Danny Quijano:</t>
        </r>
        <r>
          <rPr>
            <sz val="9"/>
            <color indexed="81"/>
            <rFont val="Tahoma"/>
            <family val="2"/>
          </rPr>
          <t xml:space="preserve">
Current Debt, Long term, and other</t>
        </r>
      </text>
    </comment>
    <comment ref="C10" authorId="0" shapeId="0">
      <text>
        <r>
          <rPr>
            <b/>
            <sz val="9"/>
            <color indexed="81"/>
            <rFont val="Tahoma"/>
            <family val="2"/>
          </rPr>
          <t>Danny Quijano:</t>
        </r>
        <r>
          <rPr>
            <sz val="9"/>
            <color indexed="81"/>
            <rFont val="Tahoma"/>
            <family val="2"/>
          </rPr>
          <t xml:space="preserve">
Cash paid, net of refunds
</t>
        </r>
      </text>
    </comment>
    <comment ref="I10" authorId="0" shapeId="0">
      <text>
        <r>
          <rPr>
            <b/>
            <sz val="9"/>
            <color indexed="81"/>
            <rFont val="Tahoma"/>
            <family val="2"/>
          </rPr>
          <t>Danny Quijano:</t>
        </r>
        <r>
          <rPr>
            <sz val="9"/>
            <color indexed="81"/>
            <rFont val="Tahoma"/>
            <family val="2"/>
          </rPr>
          <t xml:space="preserve">
Mostly impairments</t>
        </r>
      </text>
    </comment>
    <comment ref="B18" authorId="0" shapeId="0">
      <text>
        <r>
          <rPr>
            <b/>
            <sz val="9"/>
            <color indexed="81"/>
            <rFont val="Tahoma"/>
            <family val="2"/>
          </rPr>
          <t>Danny Quijano:</t>
        </r>
        <r>
          <rPr>
            <sz val="9"/>
            <color indexed="81"/>
            <rFont val="Tahoma"/>
            <family val="2"/>
          </rPr>
          <t xml:space="preserve">
In the notes they start with Interest expense and adjust fo get to 'Total Financing costs, net' by deducting/adding amort. Of deferred loan costs, cap. Int., and Int. income. This is interest expense.</t>
        </r>
      </text>
    </comment>
    <comment ref="S26" authorId="1" shapeId="0">
      <text>
        <r>
          <rPr>
            <b/>
            <sz val="9"/>
            <color indexed="81"/>
            <rFont val="Tahoma"/>
            <family val="2"/>
          </rPr>
          <t>LOE + Liquids Gathering System Operating Lease + Gathering Fees + Transportation Charges</t>
        </r>
      </text>
    </comment>
    <comment ref="I27" authorId="0" shapeId="0">
      <text>
        <r>
          <rPr>
            <b/>
            <sz val="9"/>
            <color indexed="81"/>
            <rFont val="Tahoma"/>
            <family val="2"/>
          </rPr>
          <t>Danny Quijano:</t>
        </r>
        <r>
          <rPr>
            <sz val="9"/>
            <color indexed="81"/>
            <rFont val="Tahoma"/>
            <family val="2"/>
          </rPr>
          <t xml:space="preserve">
771 billion in impairments this year. (0 in 2013 and 115 in 2015)
</t>
        </r>
      </text>
    </comment>
    <comment ref="Z27" authorId="0" shapeId="0">
      <text>
        <r>
          <rPr>
            <b/>
            <sz val="9"/>
            <color indexed="81"/>
            <rFont val="Tahoma"/>
            <family val="2"/>
          </rPr>
          <t>Danny Quijano:</t>
        </r>
        <r>
          <rPr>
            <sz val="9"/>
            <color indexed="81"/>
            <rFont val="Tahoma"/>
            <family val="2"/>
          </rPr>
          <t xml:space="preserve">
Cash paid...</t>
        </r>
      </text>
    </comment>
    <comment ref="I31" authorId="0" shapeId="0">
      <text>
        <r>
          <rPr>
            <b/>
            <sz val="9"/>
            <color indexed="81"/>
            <rFont val="Tahoma"/>
            <family val="2"/>
          </rPr>
          <t>Danny Quijano:</t>
        </r>
        <r>
          <rPr>
            <sz val="9"/>
            <color indexed="81"/>
            <rFont val="Tahoma"/>
            <family val="2"/>
          </rPr>
          <t xml:space="preserve">
11 billion impairments (0 in 2010 and 2011)
</t>
        </r>
      </text>
    </comment>
    <comment ref="N33" authorId="0" shapeId="0">
      <text>
        <r>
          <rPr>
            <b/>
            <sz val="9"/>
            <color indexed="81"/>
            <rFont val="Tahoma"/>
            <family val="2"/>
          </rPr>
          <t>Danny Quijano:</t>
        </r>
        <r>
          <rPr>
            <sz val="9"/>
            <color indexed="81"/>
            <rFont val="Tahoma"/>
            <family val="2"/>
          </rPr>
          <t xml:space="preserve">
average of 2016 and 2015 balances
</t>
        </r>
      </text>
    </comment>
    <comment ref="O33" authorId="0" shapeId="0">
      <text>
        <r>
          <rPr>
            <b/>
            <sz val="9"/>
            <color indexed="81"/>
            <rFont val="Tahoma"/>
            <family val="2"/>
          </rPr>
          <t>Danny Quijano:</t>
        </r>
        <r>
          <rPr>
            <sz val="9"/>
            <color indexed="81"/>
            <rFont val="Tahoma"/>
            <family val="2"/>
          </rPr>
          <t xml:space="preserve">
WA interest rate
</t>
        </r>
      </text>
    </comment>
    <comment ref="S33" authorId="0" shapeId="0">
      <text>
        <r>
          <rPr>
            <b/>
            <sz val="9"/>
            <color indexed="81"/>
            <rFont val="Tahoma"/>
            <family val="2"/>
          </rPr>
          <t>Danny Quijano:</t>
        </r>
        <r>
          <rPr>
            <sz val="9"/>
            <color indexed="81"/>
            <rFont val="Tahoma"/>
            <family val="2"/>
          </rPr>
          <t xml:space="preserve">
average of 2014 and 2015 balances
</t>
        </r>
      </text>
    </comment>
    <comment ref="T33" authorId="0" shapeId="0">
      <text>
        <r>
          <rPr>
            <b/>
            <sz val="9"/>
            <color indexed="81"/>
            <rFont val="Tahoma"/>
            <family val="2"/>
          </rPr>
          <t>Danny Quijano:</t>
        </r>
        <r>
          <rPr>
            <sz val="9"/>
            <color indexed="81"/>
            <rFont val="Tahoma"/>
            <family val="2"/>
          </rPr>
          <t xml:space="preserve">
WA interest rate
</t>
        </r>
      </text>
    </comment>
    <comment ref="O34" authorId="0" shapeId="0">
      <text>
        <r>
          <rPr>
            <b/>
            <sz val="9"/>
            <color indexed="81"/>
            <rFont val="Tahoma"/>
            <family val="2"/>
          </rPr>
          <t>Danny Quijano:</t>
        </r>
        <r>
          <rPr>
            <sz val="9"/>
            <color indexed="81"/>
            <rFont val="Tahoma"/>
            <family val="2"/>
          </rPr>
          <t xml:space="preserve">
Interest rate weighted for the two months they had the loan (borrowed in November)</t>
        </r>
      </text>
    </comment>
    <comment ref="T34" authorId="0" shapeId="0">
      <text>
        <r>
          <rPr>
            <b/>
            <sz val="9"/>
            <color indexed="81"/>
            <rFont val="Tahoma"/>
            <family val="2"/>
          </rPr>
          <t>Danny Quijano:</t>
        </r>
        <r>
          <rPr>
            <sz val="9"/>
            <color indexed="81"/>
            <rFont val="Tahoma"/>
            <family val="2"/>
          </rPr>
          <t xml:space="preserve">
Interest rate weighted for the two months they had the loan (borrowed in November)</t>
        </r>
      </text>
    </comment>
    <comment ref="O36" authorId="1" shapeId="0">
      <text>
        <r>
          <rPr>
            <b/>
            <sz val="9"/>
            <color indexed="81"/>
            <rFont val="Tahoma"/>
            <family val="2"/>
          </rPr>
          <t>Danny:</t>
        </r>
        <r>
          <rPr>
            <sz val="9"/>
            <color indexed="81"/>
            <rFont val="Tahoma"/>
            <family val="2"/>
          </rPr>
          <t xml:space="preserve">
This one and the one below were redeemed in November (hence multipling by 11/12)</t>
        </r>
      </text>
    </comment>
    <comment ref="A37" authorId="0" shapeId="0">
      <text>
        <r>
          <rPr>
            <b/>
            <sz val="9"/>
            <color indexed="81"/>
            <rFont val="Tahoma"/>
            <family val="2"/>
          </rPr>
          <t>Danny Quijano:</t>
        </r>
        <r>
          <rPr>
            <sz val="9"/>
            <color indexed="81"/>
            <rFont val="Tahoma"/>
            <family val="2"/>
          </rPr>
          <t xml:space="preserve">
Changes to revenues and Operating expenses?</t>
        </r>
      </text>
    </comment>
    <comment ref="B46" authorId="0" shapeId="0">
      <text>
        <r>
          <rPr>
            <b/>
            <sz val="9"/>
            <color indexed="81"/>
            <rFont val="Tahoma"/>
            <family val="2"/>
          </rPr>
          <t>Danny Quijano:</t>
        </r>
        <r>
          <rPr>
            <sz val="9"/>
            <color indexed="81"/>
            <rFont val="Tahoma"/>
            <family val="2"/>
          </rPr>
          <t xml:space="preserve">
"Interest and Debt Expense" Incurred (debt and other)</t>
        </r>
      </text>
    </comment>
    <comment ref="G49" authorId="0" shapeId="0">
      <text>
        <r>
          <rPr>
            <b/>
            <sz val="9"/>
            <color indexed="81"/>
            <rFont val="Tahoma"/>
            <family val="2"/>
          </rPr>
          <t>Danny Quijano:</t>
        </r>
        <r>
          <rPr>
            <sz val="9"/>
            <color indexed="81"/>
            <rFont val="Tahoma"/>
            <family val="2"/>
          </rPr>
          <t xml:space="preserve">
Deferred income tax of 2 billion
</t>
        </r>
      </text>
    </comment>
    <comment ref="I49" authorId="0" shapeId="0">
      <text>
        <r>
          <rPr>
            <b/>
            <sz val="9"/>
            <color indexed="81"/>
            <rFont val="Tahoma"/>
            <family val="2"/>
          </rPr>
          <t>Danny Quijano:</t>
        </r>
        <r>
          <rPr>
            <sz val="9"/>
            <color indexed="81"/>
            <rFont val="Tahoma"/>
            <family val="2"/>
          </rPr>
          <t xml:space="preserve">
6 billion in impairments
</t>
        </r>
      </text>
    </comment>
    <comment ref="I115" authorId="0" shapeId="0">
      <text>
        <r>
          <rPr>
            <b/>
            <sz val="9"/>
            <color indexed="81"/>
            <rFont val="Tahoma"/>
            <family val="2"/>
          </rPr>
          <t>Danny Quijano:</t>
        </r>
        <r>
          <rPr>
            <sz val="9"/>
            <color indexed="81"/>
            <rFont val="Tahoma"/>
            <family val="2"/>
          </rPr>
          <t xml:space="preserve">
3.6Billion in impairments
</t>
        </r>
      </text>
    </comment>
  </commentList>
</comments>
</file>

<file path=xl/comments3.xml><?xml version="1.0" encoding="utf-8"?>
<comments xmlns="http://schemas.openxmlformats.org/spreadsheetml/2006/main">
  <authors>
    <author>Danny Quijano</author>
    <author>yoksua</author>
  </authors>
  <commentList>
    <comment ref="B20" authorId="0" shapeId="0">
      <text>
        <r>
          <rPr>
            <b/>
            <sz val="9"/>
            <color indexed="81"/>
            <rFont val="Tahoma"/>
            <family val="2"/>
          </rPr>
          <t>Danny Quijano:</t>
        </r>
        <r>
          <rPr>
            <sz val="9"/>
            <color indexed="81"/>
            <rFont val="Tahoma"/>
            <family val="2"/>
          </rPr>
          <t xml:space="preserve">
Numbers changed between '14 10-k and '15. Adjustments fo divestitures?</t>
        </r>
      </text>
    </comment>
    <comment ref="C51" authorId="1" shapeId="0">
      <text>
        <r>
          <rPr>
            <b/>
            <sz val="9"/>
            <color indexed="81"/>
            <rFont val="Tahoma"/>
            <family val="2"/>
          </rPr>
          <t>Danny:</t>
        </r>
        <r>
          <rPr>
            <sz val="9"/>
            <color indexed="81"/>
            <rFont val="Tahoma"/>
            <family val="2"/>
          </rPr>
          <t xml:space="preserve">
Huge change from previous year because the line item "Net settlements received from derivatives" appears in 2017 10-k (which I updated per new data), but not in 2016 one. This adds over M$632 to 2015 CF (from 2016 10-k).
Previous amount for 2015 row was 897.505</t>
        </r>
      </text>
    </comment>
    <comment ref="D89" authorId="0" shapeId="0">
      <text>
        <r>
          <rPr>
            <b/>
            <sz val="9"/>
            <color indexed="81"/>
            <rFont val="Tahoma"/>
            <family val="2"/>
          </rPr>
          <t>Danny Quijano:</t>
        </r>
        <r>
          <rPr>
            <sz val="9"/>
            <color indexed="81"/>
            <rFont val="Tahoma"/>
            <family val="2"/>
          </rPr>
          <t xml:space="preserve">
Acquisition of Athlon</t>
        </r>
      </text>
    </comment>
    <comment ref="C130" authorId="0" shapeId="0">
      <text>
        <r>
          <rPr>
            <b/>
            <sz val="9"/>
            <color indexed="81"/>
            <rFont val="Tahoma"/>
            <family val="2"/>
          </rPr>
          <t>Danny Quijano:</t>
        </r>
        <r>
          <rPr>
            <sz val="9"/>
            <color indexed="81"/>
            <rFont val="Tahoma"/>
            <family val="2"/>
          </rPr>
          <t xml:space="preserve">
Only CF from continuing operations
</t>
        </r>
      </text>
    </comment>
  </commentList>
</comments>
</file>

<file path=xl/sharedStrings.xml><?xml version="1.0" encoding="utf-8"?>
<sst xmlns="http://schemas.openxmlformats.org/spreadsheetml/2006/main" count="636" uniqueCount="123">
  <si>
    <t>Company</t>
  </si>
  <si>
    <t>Year</t>
  </si>
  <si>
    <t>Encana</t>
  </si>
  <si>
    <t>EOG</t>
  </si>
  <si>
    <t>Values</t>
  </si>
  <si>
    <t>EBITDA</t>
  </si>
  <si>
    <t>Interest</t>
  </si>
  <si>
    <t>Income Tax</t>
  </si>
  <si>
    <t>Net Income</t>
  </si>
  <si>
    <t>CF from Operations</t>
  </si>
  <si>
    <t>Capex</t>
  </si>
  <si>
    <t>Operating, Transport, Gathering, Processing</t>
  </si>
  <si>
    <t>Anadarko</t>
  </si>
  <si>
    <t>Apache</t>
  </si>
  <si>
    <t>Cabot</t>
  </si>
  <si>
    <t>Chesapeake</t>
  </si>
  <si>
    <t>Devon</t>
  </si>
  <si>
    <t>Occidental</t>
  </si>
  <si>
    <t>Pioneer</t>
  </si>
  <si>
    <t>Southwestern</t>
  </si>
  <si>
    <t>Ultra</t>
  </si>
  <si>
    <t>Conoco</t>
  </si>
  <si>
    <t>Range</t>
  </si>
  <si>
    <t>Total Production (mmboe)</t>
  </si>
  <si>
    <t>Clean EBIT</t>
  </si>
  <si>
    <t>O&amp;G Revenue</t>
  </si>
  <si>
    <t>NonIncome Tax</t>
  </si>
  <si>
    <t>Exploration Expense</t>
  </si>
  <si>
    <t>Cash Flow</t>
  </si>
  <si>
    <t>DD&amp;A (Upstream)</t>
  </si>
  <si>
    <t>G&amp;A and Marketing</t>
  </si>
  <si>
    <t>DD&amp;A (Company-wide)</t>
  </si>
  <si>
    <t>Other CF Adjustments</t>
  </si>
  <si>
    <t>Sum of Exploration</t>
  </si>
  <si>
    <t>Sum of Oil, Gas, &amp; NGL Sales</t>
  </si>
  <si>
    <t>Sum of Production Costs</t>
  </si>
  <si>
    <t>Sum of Non-Income Tax</t>
  </si>
  <si>
    <t>Sum of G&amp;A</t>
  </si>
  <si>
    <t xml:space="preserve">Sum of EBITDA </t>
  </si>
  <si>
    <t>Sum of Upstream DD&amp;A</t>
  </si>
  <si>
    <t xml:space="preserve">Sum of Clean EBIT </t>
  </si>
  <si>
    <t xml:space="preserve">Sum of Interest </t>
  </si>
  <si>
    <t xml:space="preserve">Sum of Income Tax </t>
  </si>
  <si>
    <t xml:space="preserve">Sum of Net Income </t>
  </si>
  <si>
    <t>Sum of Total DD&amp;A</t>
  </si>
  <si>
    <t xml:space="preserve">Sum of Other CF Adjustments </t>
  </si>
  <si>
    <t>Sum of CF from Operations</t>
  </si>
  <si>
    <t xml:space="preserve">Sum of Capex </t>
  </si>
  <si>
    <t>Upstream DD&amp;A</t>
  </si>
  <si>
    <t>Total DD&amp;A</t>
  </si>
  <si>
    <t>Diff Clean, Reported EBIT</t>
  </si>
  <si>
    <t>Midstream Revenue</t>
  </si>
  <si>
    <t>Oil field services rev</t>
  </si>
  <si>
    <t xml:space="preserve">Sum of Midstream Revenue </t>
  </si>
  <si>
    <t>Non-Income Tax</t>
  </si>
  <si>
    <t>Base</t>
  </si>
  <si>
    <t>POS cost</t>
  </si>
  <si>
    <t>POS rev</t>
  </si>
  <si>
    <t>NEG cost</t>
  </si>
  <si>
    <t>NEG rev</t>
  </si>
  <si>
    <t>REAL</t>
  </si>
  <si>
    <t>Clean EBITDA</t>
  </si>
  <si>
    <t>CleanNet Income</t>
  </si>
  <si>
    <t>Reported Net Income</t>
  </si>
  <si>
    <t>Diff in NI</t>
  </si>
  <si>
    <t>Sum of The Heaping Mound</t>
  </si>
  <si>
    <t>Sum of Reported NI</t>
  </si>
  <si>
    <t>Total Interest Paid</t>
  </si>
  <si>
    <t>Cash Paid for Income Tax</t>
  </si>
  <si>
    <t>Cash paid for interest</t>
  </si>
  <si>
    <t>Income Stmt</t>
  </si>
  <si>
    <t>Interest on debt:</t>
  </si>
  <si>
    <t xml:space="preserve">COG Total Interest </t>
  </si>
  <si>
    <t>Revolver:</t>
  </si>
  <si>
    <t>Average from previous year:</t>
  </si>
  <si>
    <t>Row Labels</t>
  </si>
  <si>
    <t>Grand Total</t>
  </si>
  <si>
    <t xml:space="preserve"> Revenue</t>
  </si>
  <si>
    <t xml:space="preserve"> Non-Income Tax</t>
  </si>
  <si>
    <t xml:space="preserve"> Exploration Costs </t>
  </si>
  <si>
    <t xml:space="preserve"> Production Costs </t>
  </si>
  <si>
    <t xml:space="preserve"> G&amp;A and Marketing </t>
  </si>
  <si>
    <t xml:space="preserve"> Upstream DD&amp;A </t>
  </si>
  <si>
    <t xml:space="preserve"> Interest Expense </t>
  </si>
  <si>
    <t xml:space="preserve"> Income Tax </t>
  </si>
  <si>
    <t xml:space="preserve">Interest Expense </t>
  </si>
  <si>
    <t>"EBBS"</t>
  </si>
  <si>
    <t>EBIT</t>
  </si>
  <si>
    <t>taxes</t>
  </si>
  <si>
    <t>EBI</t>
  </si>
  <si>
    <t>EB</t>
  </si>
  <si>
    <t>Chg EBITDA</t>
  </si>
  <si>
    <t>Int as % of EBI</t>
  </si>
  <si>
    <t xml:space="preserve"> EBITDA</t>
  </si>
  <si>
    <t>Marathon</t>
  </si>
  <si>
    <t>Revenues: sales and other operating revenues, including related party (I used sales from supplementals, not this figure), marketing revenues, Income from equity method investments, G/L on disposal of assets, other income</t>
  </si>
  <si>
    <t>Expenses: Impairments</t>
  </si>
  <si>
    <t>Int as % EBIT</t>
  </si>
  <si>
    <t>Prod &amp; Mrkting Rev</t>
  </si>
  <si>
    <t>Prod Costs</t>
  </si>
  <si>
    <t>Explor Costs</t>
  </si>
  <si>
    <t>G&amp;A and Mrkting</t>
  </si>
  <si>
    <t xml:space="preserve"> CF from Operations</t>
  </si>
  <si>
    <t xml:space="preserve"> Capex </t>
  </si>
  <si>
    <t>The GAAP</t>
  </si>
  <si>
    <t>Concho</t>
  </si>
  <si>
    <t>Continental</t>
  </si>
  <si>
    <t>CLR Interest expense</t>
  </si>
  <si>
    <t>Credit Facility WA Balance</t>
  </si>
  <si>
    <t>Rate</t>
  </si>
  <si>
    <t>Balance</t>
  </si>
  <si>
    <t>Outstanding</t>
  </si>
  <si>
    <t>Hess</t>
  </si>
  <si>
    <t xml:space="preserve"> Clean EBIT</t>
  </si>
  <si>
    <t>Sum of Reported Net Income</t>
  </si>
  <si>
    <t>Sum of CleanNet Income</t>
  </si>
  <si>
    <t>Sum of Diff in NI</t>
  </si>
  <si>
    <t>(All)</t>
  </si>
  <si>
    <t>(Multiple Items)</t>
  </si>
  <si>
    <t xml:space="preserve">Total Upstream Cash Costs </t>
  </si>
  <si>
    <t>Dividend</t>
  </si>
  <si>
    <t>Operating Cash Flow</t>
  </si>
  <si>
    <t>Sum of Field1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</si>
</sst>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_(* #,##0_);_(* \(#,##0\);_(* &quot;-&quot;??_);_(@_)"/>
  </numFmts>
  <fonts count="10"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9"/>
      <color indexed="81"/>
      <name val="Tahoma"/>
      <family val="2"/>
    </font>
    <font>
      <b/>
      <sz val="9"/>
      <color indexed="81"/>
      <name val="Tahoma"/>
      <family val="2"/>
    </font>
    <font>
      <sz val="11"/>
      <color rgb="FF9C6500"/>
      <name val="Calibri"/>
      <family val="2"/>
      <scheme val="minor"/>
    </font>
    <font>
      <sz val="11"/>
      <color theme="0"/>
      <name val="Calibri"/>
      <family val="2"/>
      <scheme val="minor"/>
    </font>
    <font>
      <sz val="11"/>
      <color rgb="FF9C0006"/>
      <name val="Calibri"/>
      <family val="2"/>
      <scheme val="minor"/>
    </font>
    <font>
      <b/>
      <sz val="11"/>
      <color theme="1"/>
      <name val="Calibri"/>
      <family val="2"/>
      <scheme val="minor"/>
    </font>
  </fonts>
  <fills count="7">
    <fill>
      <patternFill patternType="none"/>
    </fill>
    <fill>
      <patternFill patternType="gray125"/>
    </fill>
    <fill>
      <patternFill patternType="solid">
        <fgColor rgb="FFE1E9EB"/>
        <bgColor indexed="64"/>
      </patternFill>
    </fill>
    <fill>
      <patternFill patternType="solid">
        <fgColor rgb="FFFFEB9C"/>
      </patternFill>
    </fill>
    <fill>
      <patternFill patternType="solid">
        <fgColor theme="5"/>
      </patternFill>
    </fill>
    <fill>
      <patternFill patternType="solid">
        <fgColor rgb="FFFFC7CE"/>
      </patternFill>
    </fill>
    <fill>
      <patternFill patternType="solid">
        <fgColor theme="7" tint="0.59999389629810485"/>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style="medium">
        <color auto="1"/>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bottom style="medium">
        <color indexed="64"/>
      </bottom>
      <diagonal/>
    </border>
    <border>
      <left/>
      <right/>
      <top/>
      <bottom style="double">
        <color indexed="64"/>
      </bottom>
      <diagonal/>
    </border>
    <border>
      <left/>
      <right/>
      <top/>
      <bottom style="thin">
        <color auto="1"/>
      </bottom>
      <diagonal/>
    </border>
  </borders>
  <cellStyleXfs count="7">
    <xf numFmtId="0" fontId="0" fillId="0" borderId="0"/>
    <xf numFmtId="43" fontId="1" fillId="0" borderId="0" applyFont="0" applyFill="0" applyBorder="0" applyAlignment="0" applyProtection="0"/>
    <xf numFmtId="0" fontId="6" fillId="3" borderId="0" applyNumberFormat="0" applyBorder="0" applyAlignment="0" applyProtection="0"/>
    <xf numFmtId="0" fontId="7" fillId="4" borderId="0" applyNumberFormat="0" applyBorder="0" applyAlignment="0" applyProtection="0"/>
    <xf numFmtId="9" fontId="1" fillId="0" borderId="0" applyFont="0" applyFill="0" applyBorder="0" applyAlignment="0" applyProtection="0"/>
    <xf numFmtId="0" fontId="8" fillId="5" borderId="0" applyNumberFormat="0" applyBorder="0" applyAlignment="0" applyProtection="0"/>
    <xf numFmtId="44" fontId="1" fillId="0" borderId="0" applyFont="0" applyFill="0" applyBorder="0" applyAlignment="0" applyProtection="0"/>
  </cellStyleXfs>
  <cellXfs count="126">
    <xf numFmtId="0" fontId="0" fillId="0" borderId="0" xfId="0"/>
    <xf numFmtId="0" fontId="0" fillId="0" borderId="1" xfId="0" applyFont="1" applyBorder="1" applyAlignment="1">
      <alignment wrapText="1"/>
    </xf>
    <xf numFmtId="0" fontId="0" fillId="0" borderId="2" xfId="0" applyBorder="1" applyAlignment="1">
      <alignment wrapText="1"/>
    </xf>
    <xf numFmtId="0" fontId="0" fillId="0" borderId="0" xfId="0" applyFont="1" applyBorder="1" applyAlignment="1">
      <alignment wrapText="1"/>
    </xf>
    <xf numFmtId="0" fontId="0" fillId="0" borderId="0" xfId="0" applyFont="1" applyFill="1" applyBorder="1" applyAlignment="1">
      <alignment wrapText="1"/>
    </xf>
    <xf numFmtId="43" fontId="0" fillId="0" borderId="0" xfId="1" applyFont="1" applyFill="1"/>
    <xf numFmtId="43" fontId="0" fillId="0" borderId="0" xfId="1" applyFont="1"/>
    <xf numFmtId="0" fontId="0" fillId="0" borderId="2" xfId="0" applyBorder="1" applyAlignment="1"/>
    <xf numFmtId="164" fontId="3" fillId="0" borderId="0" xfId="1" applyNumberFormat="1" applyFont="1" applyBorder="1" applyAlignment="1">
      <alignment wrapText="1"/>
    </xf>
    <xf numFmtId="164" fontId="0" fillId="0" borderId="0" xfId="1" applyNumberFormat="1" applyFont="1" applyFill="1" applyAlignment="1">
      <alignment horizontal="right" wrapText="1"/>
    </xf>
    <xf numFmtId="164" fontId="3" fillId="0" borderId="0" xfId="1" applyNumberFormat="1" applyFont="1" applyFill="1" applyBorder="1" applyAlignment="1">
      <alignment wrapText="1"/>
    </xf>
    <xf numFmtId="164" fontId="0" fillId="0" borderId="0" xfId="1" applyNumberFormat="1" applyFont="1" applyFill="1" applyBorder="1" applyAlignment="1">
      <alignment horizontal="right" wrapText="1"/>
    </xf>
    <xf numFmtId="164" fontId="3" fillId="0" borderId="5" xfId="1" applyNumberFormat="1" applyFont="1" applyBorder="1" applyAlignment="1">
      <alignment wrapText="1"/>
    </xf>
    <xf numFmtId="164" fontId="0" fillId="0" borderId="0" xfId="1" applyNumberFormat="1" applyFont="1"/>
    <xf numFmtId="164" fontId="0" fillId="0" borderId="0" xfId="1" applyNumberFormat="1" applyFont="1" applyAlignment="1">
      <alignment horizontal="right"/>
    </xf>
    <xf numFmtId="164" fontId="0" fillId="0" borderId="0" xfId="1" applyNumberFormat="1" applyFont="1" applyBorder="1" applyAlignment="1">
      <alignment horizontal="right"/>
    </xf>
    <xf numFmtId="164" fontId="0" fillId="0" borderId="5" xfId="1" applyNumberFormat="1" applyFont="1" applyBorder="1" applyAlignment="1">
      <alignment horizontal="right"/>
    </xf>
    <xf numFmtId="0" fontId="0" fillId="0" borderId="0" xfId="0" applyFill="1" applyBorder="1" applyAlignment="1"/>
    <xf numFmtId="164" fontId="0" fillId="0" borderId="0" xfId="0" applyNumberFormat="1"/>
    <xf numFmtId="0" fontId="2" fillId="0" borderId="3" xfId="0" applyFont="1" applyBorder="1" applyAlignment="1"/>
    <xf numFmtId="0" fontId="2" fillId="0" borderId="3" xfId="0" applyFont="1" applyFill="1" applyBorder="1" applyAlignment="1"/>
    <xf numFmtId="0" fontId="2" fillId="0" borderId="4" xfId="0" applyFont="1" applyBorder="1" applyAlignment="1"/>
    <xf numFmtId="0" fontId="2" fillId="0" borderId="4" xfId="0" applyFont="1" applyFill="1" applyBorder="1" applyAlignment="1"/>
    <xf numFmtId="43" fontId="0" fillId="0" borderId="0" xfId="1" applyFont="1" applyBorder="1" applyAlignment="1"/>
    <xf numFmtId="43" fontId="0" fillId="0" borderId="0" xfId="1" applyFont="1" applyFill="1" applyBorder="1" applyAlignment="1"/>
    <xf numFmtId="43" fontId="0" fillId="0" borderId="0" xfId="0" applyNumberFormat="1"/>
    <xf numFmtId="0" fontId="0" fillId="2" borderId="0" xfId="0" applyFill="1"/>
    <xf numFmtId="164" fontId="6" fillId="3" borderId="0" xfId="2" applyNumberFormat="1" applyBorder="1" applyAlignment="1">
      <alignment wrapText="1"/>
    </xf>
    <xf numFmtId="0" fontId="6" fillId="3" borderId="0" xfId="2"/>
    <xf numFmtId="43" fontId="6" fillId="3" borderId="0" xfId="2" applyNumberFormat="1"/>
    <xf numFmtId="0" fontId="0" fillId="0" borderId="5" xfId="0" applyBorder="1"/>
    <xf numFmtId="0" fontId="0" fillId="0" borderId="1" xfId="0" applyBorder="1"/>
    <xf numFmtId="0" fontId="0" fillId="0" borderId="6" xfId="0" applyBorder="1"/>
    <xf numFmtId="43" fontId="0" fillId="0" borderId="3" xfId="1" applyFont="1" applyBorder="1"/>
    <xf numFmtId="43" fontId="0" fillId="0" borderId="7" xfId="1" applyFont="1" applyBorder="1"/>
    <xf numFmtId="43" fontId="6" fillId="3" borderId="3" xfId="2" applyNumberFormat="1" applyBorder="1"/>
    <xf numFmtId="43" fontId="6" fillId="3" borderId="7" xfId="2" applyNumberFormat="1" applyBorder="1"/>
    <xf numFmtId="0" fontId="6" fillId="3" borderId="7" xfId="2" applyBorder="1"/>
    <xf numFmtId="43" fontId="6" fillId="3" borderId="8" xfId="2" applyNumberFormat="1" applyBorder="1"/>
    <xf numFmtId="0" fontId="6" fillId="3" borderId="9" xfId="2" applyBorder="1"/>
    <xf numFmtId="0" fontId="3" fillId="0" borderId="0" xfId="2" applyFont="1" applyFill="1"/>
    <xf numFmtId="164" fontId="7" fillId="4" borderId="0" xfId="3" applyNumberFormat="1" applyBorder="1" applyAlignment="1">
      <alignment horizontal="right"/>
    </xf>
    <xf numFmtId="0" fontId="7" fillId="4" borderId="0" xfId="3"/>
    <xf numFmtId="0" fontId="0" fillId="0" borderId="6" xfId="0" applyBorder="1" applyAlignment="1"/>
    <xf numFmtId="164" fontId="3" fillId="0" borderId="7" xfId="1" applyNumberFormat="1" applyFont="1" applyBorder="1" applyAlignment="1">
      <alignment wrapText="1"/>
    </xf>
    <xf numFmtId="164" fontId="0" fillId="0" borderId="7" xfId="1" applyNumberFormat="1" applyFont="1" applyBorder="1" applyAlignment="1">
      <alignment horizontal="right"/>
    </xf>
    <xf numFmtId="164" fontId="0" fillId="0" borderId="10" xfId="1" applyNumberFormat="1" applyFont="1" applyBorder="1" applyAlignment="1">
      <alignment horizontal="right"/>
    </xf>
    <xf numFmtId="164" fontId="3" fillId="0" borderId="7" xfId="1" applyNumberFormat="1" applyFont="1" applyFill="1" applyBorder="1" applyAlignment="1">
      <alignment wrapText="1"/>
    </xf>
    <xf numFmtId="0" fontId="2" fillId="0" borderId="8" xfId="0" applyFont="1" applyBorder="1" applyAlignment="1"/>
    <xf numFmtId="0" fontId="0" fillId="0" borderId="11" xfId="0" applyBorder="1"/>
    <xf numFmtId="0" fontId="0" fillId="0" borderId="9" xfId="0" applyBorder="1"/>
    <xf numFmtId="0" fontId="0" fillId="0" borderId="3" xfId="0" applyBorder="1"/>
    <xf numFmtId="0" fontId="0" fillId="0" borderId="8" xfId="0" applyBorder="1"/>
    <xf numFmtId="10" fontId="0" fillId="0" borderId="0" xfId="0" applyNumberFormat="1"/>
    <xf numFmtId="4" fontId="0" fillId="0" borderId="0" xfId="0" applyNumberFormat="1"/>
    <xf numFmtId="3" fontId="0" fillId="0" borderId="0" xfId="0" applyNumberFormat="1"/>
    <xf numFmtId="3" fontId="0" fillId="0" borderId="5" xfId="0" applyNumberFormat="1" applyBorder="1"/>
    <xf numFmtId="0" fontId="0" fillId="0" borderId="0" xfId="0" applyAlignment="1">
      <alignment horizontal="right"/>
    </xf>
    <xf numFmtId="0" fontId="0" fillId="0" borderId="0" xfId="0" applyNumberFormat="1"/>
    <xf numFmtId="2" fontId="0" fillId="0" borderId="0" xfId="0" applyNumberFormat="1"/>
    <xf numFmtId="3" fontId="0" fillId="0" borderId="0" xfId="0" applyNumberFormat="1" applyBorder="1"/>
    <xf numFmtId="0" fontId="0" fillId="0" borderId="0" xfId="0" applyBorder="1"/>
    <xf numFmtId="10" fontId="0" fillId="0" borderId="0" xfId="0" applyNumberFormat="1" applyBorder="1"/>
    <xf numFmtId="3" fontId="0" fillId="0" borderId="12" xfId="0" applyNumberFormat="1" applyBorder="1"/>
    <xf numFmtId="164" fontId="0" fillId="0" borderId="12" xfId="1" applyNumberFormat="1" applyFont="1" applyBorder="1"/>
    <xf numFmtId="0" fontId="2" fillId="0" borderId="1" xfId="0" applyFont="1" applyBorder="1" applyAlignment="1"/>
    <xf numFmtId="0" fontId="0" fillId="0" borderId="2" xfId="0" applyFont="1" applyBorder="1" applyAlignment="1">
      <alignment wrapText="1"/>
    </xf>
    <xf numFmtId="43" fontId="0" fillId="0" borderId="2" xfId="1" applyFont="1" applyBorder="1" applyAlignment="1"/>
    <xf numFmtId="164" fontId="3" fillId="0" borderId="2" xfId="1" applyNumberFormat="1" applyFont="1" applyBorder="1" applyAlignment="1">
      <alignment wrapText="1"/>
    </xf>
    <xf numFmtId="164" fontId="0" fillId="0" borderId="2" xfId="1" applyNumberFormat="1" applyFont="1" applyFill="1" applyBorder="1" applyAlignment="1">
      <alignment horizontal="right" wrapText="1"/>
    </xf>
    <xf numFmtId="164" fontId="0" fillId="0" borderId="6" xfId="1" applyNumberFormat="1" applyFont="1" applyFill="1" applyBorder="1" applyAlignment="1">
      <alignment horizontal="right" wrapText="1"/>
    </xf>
    <xf numFmtId="164" fontId="0" fillId="0" borderId="7" xfId="1" applyNumberFormat="1" applyFont="1" applyFill="1" applyBorder="1" applyAlignment="1">
      <alignment horizontal="right" wrapText="1"/>
    </xf>
    <xf numFmtId="0" fontId="0" fillId="0" borderId="11" xfId="0" applyFont="1" applyBorder="1" applyAlignment="1">
      <alignment wrapText="1"/>
    </xf>
    <xf numFmtId="43" fontId="0" fillId="0" borderId="11" xfId="1" applyFont="1" applyBorder="1" applyAlignment="1"/>
    <xf numFmtId="164" fontId="3" fillId="0" borderId="11" xfId="1" applyNumberFormat="1" applyFont="1" applyBorder="1" applyAlignment="1">
      <alignment wrapText="1"/>
    </xf>
    <xf numFmtId="164" fontId="0" fillId="0" borderId="11" xfId="1" applyNumberFormat="1" applyFont="1" applyFill="1" applyBorder="1" applyAlignment="1">
      <alignment horizontal="right" wrapText="1"/>
    </xf>
    <xf numFmtId="164" fontId="7" fillId="4" borderId="11" xfId="3" applyNumberFormat="1" applyBorder="1" applyAlignment="1">
      <alignment wrapText="1"/>
    </xf>
    <xf numFmtId="164" fontId="0" fillId="0" borderId="11" xfId="1" applyNumberFormat="1" applyFont="1" applyBorder="1" applyAlignment="1">
      <alignment horizontal="right"/>
    </xf>
    <xf numFmtId="164" fontId="0" fillId="0" borderId="9" xfId="1" applyNumberFormat="1" applyFont="1" applyFill="1" applyBorder="1" applyAlignment="1">
      <alignment horizontal="right" wrapText="1"/>
    </xf>
    <xf numFmtId="43" fontId="6" fillId="3" borderId="9" xfId="2" applyNumberFormat="1" applyBorder="1"/>
    <xf numFmtId="9" fontId="0" fillId="0" borderId="0" xfId="4" applyFont="1"/>
    <xf numFmtId="164" fontId="6" fillId="3" borderId="0" xfId="2" applyNumberFormat="1" applyAlignment="1">
      <alignment horizontal="right"/>
    </xf>
    <xf numFmtId="164" fontId="6" fillId="3" borderId="0" xfId="2" applyNumberFormat="1" applyBorder="1" applyAlignment="1">
      <alignment horizontal="right"/>
    </xf>
    <xf numFmtId="164" fontId="8" fillId="5" borderId="0" xfId="5" applyNumberFormat="1" applyAlignment="1">
      <alignment horizontal="right" wrapText="1"/>
    </xf>
    <xf numFmtId="164" fontId="8" fillId="5" borderId="0" xfId="5" applyNumberFormat="1" applyBorder="1" applyAlignment="1">
      <alignment wrapText="1"/>
    </xf>
    <xf numFmtId="0" fontId="9" fillId="0" borderId="0" xfId="0" applyFont="1"/>
    <xf numFmtId="2" fontId="9" fillId="0" borderId="0" xfId="0" applyNumberFormat="1" applyFont="1"/>
    <xf numFmtId="9" fontId="0" fillId="0" borderId="0" xfId="0" applyNumberFormat="1"/>
    <xf numFmtId="2" fontId="0" fillId="0" borderId="0" xfId="6" applyNumberFormat="1" applyFont="1"/>
    <xf numFmtId="2" fontId="0" fillId="0" borderId="3" xfId="6" applyNumberFormat="1" applyFont="1" applyBorder="1"/>
    <xf numFmtId="2" fontId="0" fillId="0" borderId="7" xfId="6" applyNumberFormat="1" applyFont="1" applyBorder="1"/>
    <xf numFmtId="43" fontId="6" fillId="3" borderId="0" xfId="1" applyFont="1" applyFill="1"/>
    <xf numFmtId="43" fontId="6" fillId="3" borderId="3" xfId="1" applyFont="1" applyFill="1" applyBorder="1"/>
    <xf numFmtId="43" fontId="6" fillId="3" borderId="7" xfId="1" applyFont="1" applyFill="1" applyBorder="1"/>
    <xf numFmtId="0" fontId="0" fillId="0" borderId="13" xfId="0" applyFont="1" applyBorder="1" applyAlignment="1">
      <alignment wrapText="1"/>
    </xf>
    <xf numFmtId="43" fontId="0" fillId="0" borderId="13" xfId="1" applyFont="1" applyBorder="1" applyAlignment="1"/>
    <xf numFmtId="164" fontId="3" fillId="0" borderId="13" xfId="1" applyNumberFormat="1" applyFont="1" applyBorder="1" applyAlignment="1">
      <alignment wrapText="1"/>
    </xf>
    <xf numFmtId="164" fontId="0" fillId="0" borderId="13" xfId="1" applyNumberFormat="1" applyFont="1" applyFill="1" applyBorder="1" applyAlignment="1">
      <alignment horizontal="right" wrapText="1"/>
    </xf>
    <xf numFmtId="164" fontId="0" fillId="0" borderId="13" xfId="1" applyNumberFormat="1" applyFont="1" applyBorder="1" applyAlignment="1">
      <alignment horizontal="right"/>
    </xf>
    <xf numFmtId="0" fontId="0" fillId="0" borderId="0" xfId="0" applyAlignment="1">
      <alignment wrapText="1"/>
    </xf>
    <xf numFmtId="0" fontId="0" fillId="0" borderId="0" xfId="0" applyFont="1" applyFill="1" applyAlignment="1">
      <alignment wrapText="1"/>
    </xf>
    <xf numFmtId="0" fontId="0" fillId="0" borderId="0" xfId="0" applyFill="1" applyBorder="1" applyAlignment="1">
      <alignment wrapText="1"/>
    </xf>
    <xf numFmtId="2" fontId="0" fillId="0" borderId="13" xfId="1" applyNumberFormat="1" applyFont="1" applyBorder="1" applyAlignment="1"/>
    <xf numFmtId="164" fontId="0" fillId="6" borderId="13" xfId="1" applyNumberFormat="1" applyFont="1" applyFill="1" applyBorder="1" applyAlignment="1">
      <alignment horizontal="right"/>
    </xf>
    <xf numFmtId="0" fontId="0" fillId="0" borderId="0" xfId="0"/>
    <xf numFmtId="0" fontId="0" fillId="0" borderId="0" xfId="0" pivotButton="1"/>
    <xf numFmtId="0" fontId="0" fillId="0" borderId="0" xfId="0" applyAlignment="1">
      <alignment horizontal="left"/>
    </xf>
    <xf numFmtId="164" fontId="3" fillId="0" borderId="13" xfId="1" applyNumberFormat="1" applyFont="1" applyBorder="1" applyAlignment="1">
      <alignment wrapText="1"/>
    </xf>
    <xf numFmtId="164" fontId="0" fillId="0" borderId="13" xfId="1" applyNumberFormat="1" applyFont="1" applyBorder="1" applyAlignment="1">
      <alignment horizontal="right"/>
    </xf>
    <xf numFmtId="43" fontId="0" fillId="0" borderId="0" xfId="0" applyNumberFormat="1"/>
    <xf numFmtId="3" fontId="0" fillId="0" borderId="0" xfId="0" applyNumberFormat="1"/>
    <xf numFmtId="0" fontId="0" fillId="0" borderId="0" xfId="0" applyNumberFormat="1"/>
    <xf numFmtId="43" fontId="0" fillId="0" borderId="13" xfId="1" applyFont="1" applyBorder="1" applyAlignment="1"/>
    <xf numFmtId="164" fontId="0" fillId="0" borderId="13" xfId="1" applyNumberFormat="1" applyFont="1" applyFill="1" applyBorder="1" applyAlignment="1">
      <alignment horizontal="right" wrapText="1"/>
    </xf>
    <xf numFmtId="164" fontId="3" fillId="0" borderId="0" xfId="5" applyNumberFormat="1" applyFont="1" applyFill="1" applyBorder="1" applyAlignment="1">
      <alignment wrapText="1"/>
    </xf>
    <xf numFmtId="164" fontId="3" fillId="0" borderId="13" xfId="5" applyNumberFormat="1" applyFont="1" applyFill="1" applyBorder="1" applyAlignment="1">
      <alignment wrapText="1"/>
    </xf>
    <xf numFmtId="0" fontId="0" fillId="0" borderId="0" xfId="0" applyFont="1" applyAlignment="1"/>
    <xf numFmtId="3" fontId="3" fillId="0" borderId="0" xfId="1" applyNumberFormat="1" applyFont="1" applyBorder="1" applyAlignment="1">
      <alignment wrapText="1"/>
    </xf>
    <xf numFmtId="3" fontId="0" fillId="0" borderId="0" xfId="1" applyNumberFormat="1" applyFont="1" applyFill="1" applyAlignment="1">
      <alignment horizontal="right" wrapText="1"/>
    </xf>
    <xf numFmtId="3" fontId="0" fillId="0" borderId="0" xfId="1" applyNumberFormat="1" applyFont="1"/>
    <xf numFmtId="3" fontId="0" fillId="0" borderId="0" xfId="1" applyNumberFormat="1" applyFont="1" applyAlignment="1">
      <alignment horizontal="right"/>
    </xf>
    <xf numFmtId="3" fontId="0" fillId="0"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13" xfId="1" applyNumberFormat="1" applyFont="1" applyBorder="1" applyAlignment="1">
      <alignment horizontal="right"/>
    </xf>
    <xf numFmtId="3" fontId="0" fillId="0" borderId="13" xfId="1" applyNumberFormat="1" applyFont="1" applyFill="1" applyBorder="1" applyAlignment="1">
      <alignment horizontal="right" wrapText="1"/>
    </xf>
    <xf numFmtId="3" fontId="0" fillId="6" borderId="13" xfId="1" applyNumberFormat="1" applyFont="1" applyFill="1" applyBorder="1" applyAlignment="1">
      <alignment horizontal="right"/>
    </xf>
  </cellXfs>
  <cellStyles count="7">
    <cellStyle name="Accent2" xfId="3" builtinId="33"/>
    <cellStyle name="Bad" xfId="5" builtinId="27"/>
    <cellStyle name="Comma" xfId="1" builtinId="3"/>
    <cellStyle name="Currency" xfId="6" builtinId="4"/>
    <cellStyle name="Neutral" xfId="2" builtinId="28"/>
    <cellStyle name="Normal" xfId="0" builtinId="0"/>
    <cellStyle name="Percent" xfId="4" builtinId="5"/>
  </cellStyles>
  <dxfs count="2">
    <dxf>
      <numFmt numFmtId="3" formatCode="#,##0"/>
    </dxf>
    <dxf>
      <numFmt numFmtId="3" formatCode="#,##0"/>
    </dxf>
  </dxfs>
  <tableStyles count="0" defaultTableStyle="TableStyleMedium2" defaultPivotStyle="PivotStyleLight16"/>
  <colors>
    <mruColors>
      <color rgb="FFEE6E54"/>
      <color rgb="FFE1E9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microsoft.com/office/2007/relationships/slicerCache" Target="slicerCaches/slicerCache2.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Data!$AA$3</c:f>
          <c:strCache>
            <c:ptCount val="1"/>
            <c:pt idx="0">
              <c:v>Annual Waterfall: (Multiple Items), (All)</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646983956019924"/>
          <c:y val="9.2555197014925997E-2"/>
          <c:w val="0.85916693102311092"/>
          <c:h val="0.68989549229951541"/>
        </c:manualLayout>
      </c:layout>
      <c:barChart>
        <c:barDir val="col"/>
        <c:grouping val="stacked"/>
        <c:varyColors val="0"/>
        <c:ser>
          <c:idx val="0"/>
          <c:order val="0"/>
          <c:spPr>
            <a:solidFill>
              <a:schemeClr val="tx1"/>
            </a:solidFill>
            <a:ln>
              <a:noFill/>
            </a:ln>
            <a:effectLst/>
          </c:spPr>
          <c:invertIfNegative val="0"/>
          <c:dPt>
            <c:idx val="0"/>
            <c:invertIfNegative val="0"/>
            <c:bubble3D val="0"/>
            <c:spPr>
              <a:solidFill>
                <a:schemeClr val="tx1"/>
              </a:solidFill>
              <a:ln>
                <a:noFill/>
              </a:ln>
              <a:effectLst/>
            </c:spPr>
          </c:dPt>
          <c:dPt>
            <c:idx val="5"/>
            <c:invertIfNegative val="0"/>
            <c:bubble3D val="0"/>
            <c:spPr>
              <a:solidFill>
                <a:schemeClr val="tx1"/>
              </a:solidFill>
              <a:ln>
                <a:noFill/>
              </a:ln>
              <a:effectLst/>
            </c:spPr>
          </c:dPt>
          <c:dPt>
            <c:idx val="7"/>
            <c:invertIfNegative val="0"/>
            <c:bubble3D val="0"/>
            <c:spPr>
              <a:solidFill>
                <a:schemeClr val="tx1"/>
              </a:solidFill>
              <a:ln>
                <a:noFill/>
              </a:ln>
              <a:effectLst/>
            </c:spPr>
          </c:dPt>
          <c:dPt>
            <c:idx val="10"/>
            <c:invertIfNegative val="0"/>
            <c:bubble3D val="0"/>
            <c:spPr>
              <a:solidFill>
                <a:schemeClr val="tx1"/>
              </a:solidFill>
              <a:ln>
                <a:noFill/>
              </a:ln>
              <a:effectLst/>
            </c:spPr>
          </c:dPt>
          <c:dPt>
            <c:idx val="15"/>
            <c:invertIfNegative val="0"/>
            <c:bubble3D val="0"/>
            <c:spPr>
              <a:solidFill>
                <a:schemeClr val="tx1"/>
              </a:solidFill>
              <a:ln>
                <a:noFill/>
              </a:ln>
              <a:effectLst/>
            </c:spPr>
          </c:dPt>
          <c:dPt>
            <c:idx val="16"/>
            <c:invertIfNegative val="0"/>
            <c:bubble3D val="0"/>
            <c:spPr>
              <a:solidFill>
                <a:schemeClr val="tx1"/>
              </a:solidFill>
              <a:ln>
                <a:noFill/>
              </a:ln>
              <a:effectLst/>
            </c:spPr>
          </c:dPt>
          <c:cat>
            <c:strRef>
              <c:f>Data!$AA$7:$AA$23</c:f>
              <c:strCache>
                <c:ptCount val="17"/>
                <c:pt idx="0">
                  <c:v>Prod &amp; Mrkting Rev</c:v>
                </c:pt>
                <c:pt idx="1">
                  <c:v>Prod Costs</c:v>
                </c:pt>
                <c:pt idx="2">
                  <c:v>Explor Costs</c:v>
                </c:pt>
                <c:pt idx="3">
                  <c:v>Non-Income Tax</c:v>
                </c:pt>
                <c:pt idx="4">
                  <c:v>G&amp;A and Mrkting</c:v>
                </c:pt>
                <c:pt idx="5">
                  <c:v>Clean EBITDA</c:v>
                </c:pt>
                <c:pt idx="6">
                  <c:v>Upstream DD&amp;A</c:v>
                </c:pt>
                <c:pt idx="7">
                  <c:v>Clean EBIT</c:v>
                </c:pt>
                <c:pt idx="8">
                  <c:v>Total Interest Paid</c:v>
                </c:pt>
                <c:pt idx="9">
                  <c:v>Cash Paid for Income Tax</c:v>
                </c:pt>
                <c:pt idx="10">
                  <c:v>"EBBS"</c:v>
                </c:pt>
                <c:pt idx="11">
                  <c:v>The GAAP</c:v>
                </c:pt>
                <c:pt idx="12">
                  <c:v>Reported Net Income</c:v>
                </c:pt>
                <c:pt idx="13">
                  <c:v>Total DD&amp;A</c:v>
                </c:pt>
                <c:pt idx="14">
                  <c:v>Other CF Adjustments</c:v>
                </c:pt>
                <c:pt idx="15">
                  <c:v>CF from Operations</c:v>
                </c:pt>
                <c:pt idx="16">
                  <c:v>Capex</c:v>
                </c:pt>
              </c:strCache>
            </c:strRef>
          </c:cat>
          <c:val>
            <c:numRef>
              <c:f>Data!$AB$7:$AB$23</c:f>
              <c:numCache>
                <c:formatCode>0.00</c:formatCode>
                <c:ptCount val="17"/>
                <c:pt idx="0" formatCode="_(* #,##0.00_);_(* \(#,##0.00\);_(* &quot;-&quot;??_);_(@_)">
                  <c:v>48.17129388028259</c:v>
                </c:pt>
                <c:pt idx="1">
                  <c:v>43.938702095955406</c:v>
                </c:pt>
                <c:pt idx="2">
                  <c:v>41.901702458856732</c:v>
                </c:pt>
                <c:pt idx="3">
                  <c:v>39.17188412511922</c:v>
                </c:pt>
                <c:pt idx="4">
                  <c:v>31.820997926775693</c:v>
                </c:pt>
                <c:pt idx="5" formatCode="_(* #,##0.00_);_(* \(#,##0.00\);_(* &quot;-&quot;??_);_(@_)">
                  <c:v>31.860722637907756</c:v>
                </c:pt>
                <c:pt idx="6">
                  <c:v>18.744525976691101</c:v>
                </c:pt>
                <c:pt idx="7" formatCode="_(* #,##0.00_);_(* \(#,##0.00\);_(* &quot;-&quot;??_);_(@_)">
                  <c:v>18.744525976691101</c:v>
                </c:pt>
                <c:pt idx="8">
                  <c:v>16.40394894789808</c:v>
                </c:pt>
                <c:pt idx="9">
                  <c:v>12.542528154438198</c:v>
                </c:pt>
                <c:pt idx="10" formatCode="_(* #,##0.00_);_(* \(#,##0.00\);_(* &quot;-&quot;??_);_(@_)">
                  <c:v>12.542528154438202</c:v>
                </c:pt>
                <c:pt idx="11">
                  <c:v>1.4629637171124994</c:v>
                </c:pt>
                <c:pt idx="12" formatCode="_(* #,##0.00_);_(* \(#,##0.00\);_(* &quot;-&quot;??_);_(@_)">
                  <c:v>1.462963717112499</c:v>
                </c:pt>
                <c:pt idx="13">
                  <c:v>1.462963717112499</c:v>
                </c:pt>
                <c:pt idx="14" formatCode="_(* #,##0.00_);_(* \(#,##0.00\);_(* &quot;-&quot;??_);_(@_)">
                  <c:v>15.012620024878574</c:v>
                </c:pt>
                <c:pt idx="15" formatCode="_(* #,##0.00_);_(* \(#,##0.00\);_(* &quot;-&quot;??_);_(@_)">
                  <c:v>22.180463307704013</c:v>
                </c:pt>
                <c:pt idx="16" formatCode="_(* #,##0.00_);_(* \(#,##0.00\);_(* &quot;-&quot;??_);_(@_)">
                  <c:v>28.901920099717699</c:v>
                </c:pt>
              </c:numCache>
            </c:numRef>
          </c:val>
        </c:ser>
        <c:ser>
          <c:idx val="1"/>
          <c:order val="1"/>
          <c:spPr>
            <a:solidFill>
              <a:srgbClr val="C00000"/>
            </a:solidFill>
            <a:ln>
              <a:noFill/>
            </a:ln>
            <a:effectLst/>
          </c:spPr>
          <c:invertIfNegative val="0"/>
          <c:cat>
            <c:strRef>
              <c:f>Data!$AA$7:$AA$23</c:f>
              <c:strCache>
                <c:ptCount val="17"/>
                <c:pt idx="0">
                  <c:v>Prod &amp; Mrkting Rev</c:v>
                </c:pt>
                <c:pt idx="1">
                  <c:v>Prod Costs</c:v>
                </c:pt>
                <c:pt idx="2">
                  <c:v>Explor Costs</c:v>
                </c:pt>
                <c:pt idx="3">
                  <c:v>Non-Income Tax</c:v>
                </c:pt>
                <c:pt idx="4">
                  <c:v>G&amp;A and Mrkting</c:v>
                </c:pt>
                <c:pt idx="5">
                  <c:v>Clean EBITDA</c:v>
                </c:pt>
                <c:pt idx="6">
                  <c:v>Upstream DD&amp;A</c:v>
                </c:pt>
                <c:pt idx="7">
                  <c:v>Clean EBIT</c:v>
                </c:pt>
                <c:pt idx="8">
                  <c:v>Total Interest Paid</c:v>
                </c:pt>
                <c:pt idx="9">
                  <c:v>Cash Paid for Income Tax</c:v>
                </c:pt>
                <c:pt idx="10">
                  <c:v>"EBBS"</c:v>
                </c:pt>
                <c:pt idx="11">
                  <c:v>The GAAP</c:v>
                </c:pt>
                <c:pt idx="12">
                  <c:v>Reported Net Income</c:v>
                </c:pt>
                <c:pt idx="13">
                  <c:v>Total DD&amp;A</c:v>
                </c:pt>
                <c:pt idx="14">
                  <c:v>Other CF Adjustments</c:v>
                </c:pt>
                <c:pt idx="15">
                  <c:v>CF from Operations</c:v>
                </c:pt>
                <c:pt idx="16">
                  <c:v>Capex</c:v>
                </c:pt>
              </c:strCache>
            </c:strRef>
          </c:cat>
          <c:val>
            <c:numRef>
              <c:f>Data!$AC$7:$AC$23</c:f>
              <c:numCache>
                <c:formatCode>0.00</c:formatCode>
                <c:ptCount val="17"/>
                <c:pt idx="1">
                  <c:v>10.816361889855152</c:v>
                </c:pt>
                <c:pt idx="2">
                  <c:v>2.0369996370986718</c:v>
                </c:pt>
                <c:pt idx="3">
                  <c:v>2.7298183337375126</c:v>
                </c:pt>
                <c:pt idx="4">
                  <c:v>7.3508861983435283</c:v>
                </c:pt>
                <c:pt idx="6">
                  <c:v>13.116196661216655</c:v>
                </c:pt>
                <c:pt idx="8">
                  <c:v>2.3405770287930228</c:v>
                </c:pt>
                <c:pt idx="9">
                  <c:v>3.8614207934598821</c:v>
                </c:pt>
                <c:pt idx="11">
                  <c:v>11.079564437325702</c:v>
                </c:pt>
                <c:pt idx="13">
                  <c:v>0</c:v>
                </c:pt>
                <c:pt idx="14" formatCode="_(* #,##0.00_);_(* \(#,##0.00\);_(* &quot;-&quot;??_);_(@_)">
                  <c:v>0</c:v>
                </c:pt>
              </c:numCache>
            </c:numRef>
          </c:val>
        </c:ser>
        <c:ser>
          <c:idx val="2"/>
          <c:order val="2"/>
          <c:spPr>
            <a:solidFill>
              <a:schemeClr val="accent1">
                <a:lumMod val="75000"/>
              </a:schemeClr>
            </a:solidFill>
            <a:ln>
              <a:noFill/>
            </a:ln>
            <a:effectLst/>
          </c:spPr>
          <c:invertIfNegative val="0"/>
          <c:dPt>
            <c:idx val="0"/>
            <c:invertIfNegative val="0"/>
            <c:bubble3D val="0"/>
            <c:spPr>
              <a:solidFill>
                <a:schemeClr val="accent1">
                  <a:lumMod val="75000"/>
                </a:schemeClr>
              </a:solidFill>
              <a:ln>
                <a:noFill/>
              </a:ln>
              <a:effectLst/>
            </c:spPr>
          </c:dPt>
          <c:cat>
            <c:strRef>
              <c:f>Data!$AA$7:$AA$23</c:f>
              <c:strCache>
                <c:ptCount val="17"/>
                <c:pt idx="0">
                  <c:v>Prod &amp; Mrkting Rev</c:v>
                </c:pt>
                <c:pt idx="1">
                  <c:v>Prod Costs</c:v>
                </c:pt>
                <c:pt idx="2">
                  <c:v>Explor Costs</c:v>
                </c:pt>
                <c:pt idx="3">
                  <c:v>Non-Income Tax</c:v>
                </c:pt>
                <c:pt idx="4">
                  <c:v>G&amp;A and Mrkting</c:v>
                </c:pt>
                <c:pt idx="5">
                  <c:v>Clean EBITDA</c:v>
                </c:pt>
                <c:pt idx="6">
                  <c:v>Upstream DD&amp;A</c:v>
                </c:pt>
                <c:pt idx="7">
                  <c:v>Clean EBIT</c:v>
                </c:pt>
                <c:pt idx="8">
                  <c:v>Total Interest Paid</c:v>
                </c:pt>
                <c:pt idx="9">
                  <c:v>Cash Paid for Income Tax</c:v>
                </c:pt>
                <c:pt idx="10">
                  <c:v>"EBBS"</c:v>
                </c:pt>
                <c:pt idx="11">
                  <c:v>The GAAP</c:v>
                </c:pt>
                <c:pt idx="12">
                  <c:v>Reported Net Income</c:v>
                </c:pt>
                <c:pt idx="13">
                  <c:v>Total DD&amp;A</c:v>
                </c:pt>
                <c:pt idx="14">
                  <c:v>Other CF Adjustments</c:v>
                </c:pt>
                <c:pt idx="15">
                  <c:v>CF from Operations</c:v>
                </c:pt>
                <c:pt idx="16">
                  <c:v>Capex</c:v>
                </c:pt>
              </c:strCache>
            </c:strRef>
          </c:cat>
          <c:val>
            <c:numRef>
              <c:f>Data!$AE$7:$AE$23</c:f>
              <c:numCache>
                <c:formatCode>0.00</c:formatCode>
                <c:ptCount val="17"/>
                <c:pt idx="0" formatCode="_(* #,##0.00_);_(* \(#,##0.00\);_(* &quot;-&quot;??_);_(@_)">
                  <c:v>6.5837701055279672</c:v>
                </c:pt>
                <c:pt idx="1">
                  <c:v>0</c:v>
                </c:pt>
                <c:pt idx="2">
                  <c:v>0</c:v>
                </c:pt>
                <c:pt idx="3">
                  <c:v>0</c:v>
                </c:pt>
                <c:pt idx="4">
                  <c:v>0</c:v>
                </c:pt>
                <c:pt idx="6">
                  <c:v>0</c:v>
                </c:pt>
                <c:pt idx="8">
                  <c:v>0</c:v>
                </c:pt>
                <c:pt idx="9">
                  <c:v>0</c:v>
                </c:pt>
                <c:pt idx="11">
                  <c:v>0</c:v>
                </c:pt>
                <c:pt idx="13">
                  <c:v>13.549656307766075</c:v>
                </c:pt>
                <c:pt idx="14" formatCode="_(* #,##0.00_);_(* \(#,##0.00\);_(* &quot;-&quot;??_);_(@_)">
                  <c:v>7.1678432828254381</c:v>
                </c:pt>
              </c:numCache>
            </c:numRef>
          </c:val>
        </c:ser>
        <c:ser>
          <c:idx val="3"/>
          <c:order val="3"/>
          <c:spPr>
            <a:solidFill>
              <a:srgbClr val="FF0000"/>
            </a:solidFill>
            <a:ln>
              <a:noFill/>
            </a:ln>
            <a:effectLst/>
          </c:spPr>
          <c:invertIfNegative val="0"/>
          <c:cat>
            <c:strRef>
              <c:f>Data!$AA$7:$AA$23</c:f>
              <c:strCache>
                <c:ptCount val="17"/>
                <c:pt idx="0">
                  <c:v>Prod &amp; Mrkting Rev</c:v>
                </c:pt>
                <c:pt idx="1">
                  <c:v>Prod Costs</c:v>
                </c:pt>
                <c:pt idx="2">
                  <c:v>Explor Costs</c:v>
                </c:pt>
                <c:pt idx="3">
                  <c:v>Non-Income Tax</c:v>
                </c:pt>
                <c:pt idx="4">
                  <c:v>G&amp;A and Mrkting</c:v>
                </c:pt>
                <c:pt idx="5">
                  <c:v>Clean EBITDA</c:v>
                </c:pt>
                <c:pt idx="6">
                  <c:v>Upstream DD&amp;A</c:v>
                </c:pt>
                <c:pt idx="7">
                  <c:v>Clean EBIT</c:v>
                </c:pt>
                <c:pt idx="8">
                  <c:v>Total Interest Paid</c:v>
                </c:pt>
                <c:pt idx="9">
                  <c:v>Cash Paid for Income Tax</c:v>
                </c:pt>
                <c:pt idx="10">
                  <c:v>"EBBS"</c:v>
                </c:pt>
                <c:pt idx="11">
                  <c:v>The GAAP</c:v>
                </c:pt>
                <c:pt idx="12">
                  <c:v>Reported Net Income</c:v>
                </c:pt>
                <c:pt idx="13">
                  <c:v>Total DD&amp;A</c:v>
                </c:pt>
                <c:pt idx="14">
                  <c:v>Other CF Adjustments</c:v>
                </c:pt>
                <c:pt idx="15">
                  <c:v>CF from Operations</c:v>
                </c:pt>
                <c:pt idx="16">
                  <c:v>Capex</c:v>
                </c:pt>
              </c:strCache>
            </c:strRef>
          </c:cat>
          <c:val>
            <c:numRef>
              <c:f>Data!$AD$7:$AD$23</c:f>
              <c:numCache>
                <c:formatCode>0.00</c:formatCode>
                <c:ptCount val="17"/>
                <c:pt idx="1">
                  <c:v>0</c:v>
                </c:pt>
                <c:pt idx="2">
                  <c:v>0</c:v>
                </c:pt>
                <c:pt idx="3">
                  <c:v>0</c:v>
                </c:pt>
                <c:pt idx="4">
                  <c:v>0</c:v>
                </c:pt>
                <c:pt idx="6">
                  <c:v>0</c:v>
                </c:pt>
                <c:pt idx="8">
                  <c:v>0</c:v>
                </c:pt>
                <c:pt idx="9">
                  <c:v>0</c:v>
                </c:pt>
                <c:pt idx="11">
                  <c:v>0</c:v>
                </c:pt>
                <c:pt idx="13">
                  <c:v>0</c:v>
                </c:pt>
                <c:pt idx="14" formatCode="_(* #,##0.00_);_(* \(#,##0.00\);_(* &quot;-&quot;??_);_(@_)">
                  <c:v>0</c:v>
                </c:pt>
              </c:numCache>
            </c:numRef>
          </c:val>
        </c:ser>
        <c:ser>
          <c:idx val="4"/>
          <c:order val="4"/>
          <c:spPr>
            <a:solidFill>
              <a:schemeClr val="accent1">
                <a:lumMod val="40000"/>
                <a:lumOff val="60000"/>
              </a:schemeClr>
            </a:solidFill>
            <a:ln>
              <a:noFill/>
            </a:ln>
            <a:effectLst/>
          </c:spPr>
          <c:invertIfNegative val="0"/>
          <c:cat>
            <c:strRef>
              <c:f>Data!$AA$7:$AA$23</c:f>
              <c:strCache>
                <c:ptCount val="17"/>
                <c:pt idx="0">
                  <c:v>Prod &amp; Mrkting Rev</c:v>
                </c:pt>
                <c:pt idx="1">
                  <c:v>Prod Costs</c:v>
                </c:pt>
                <c:pt idx="2">
                  <c:v>Explor Costs</c:v>
                </c:pt>
                <c:pt idx="3">
                  <c:v>Non-Income Tax</c:v>
                </c:pt>
                <c:pt idx="4">
                  <c:v>G&amp;A and Mrkting</c:v>
                </c:pt>
                <c:pt idx="5">
                  <c:v>Clean EBITDA</c:v>
                </c:pt>
                <c:pt idx="6">
                  <c:v>Upstream DD&amp;A</c:v>
                </c:pt>
                <c:pt idx="7">
                  <c:v>Clean EBIT</c:v>
                </c:pt>
                <c:pt idx="8">
                  <c:v>Total Interest Paid</c:v>
                </c:pt>
                <c:pt idx="9">
                  <c:v>Cash Paid for Income Tax</c:v>
                </c:pt>
                <c:pt idx="10">
                  <c:v>"EBBS"</c:v>
                </c:pt>
                <c:pt idx="11">
                  <c:v>The GAAP</c:v>
                </c:pt>
                <c:pt idx="12">
                  <c:v>Reported Net Income</c:v>
                </c:pt>
                <c:pt idx="13">
                  <c:v>Total DD&amp;A</c:v>
                </c:pt>
                <c:pt idx="14">
                  <c:v>Other CF Adjustments</c:v>
                </c:pt>
                <c:pt idx="15">
                  <c:v>CF from Operations</c:v>
                </c:pt>
                <c:pt idx="16">
                  <c:v>Capex</c:v>
                </c:pt>
              </c:strCache>
            </c:strRef>
          </c:cat>
          <c:val>
            <c:numRef>
              <c:f>Data!$AF$7:$AF$23</c:f>
              <c:numCache>
                <c:formatCode>0.00</c:formatCode>
                <c:ptCount val="17"/>
                <c:pt idx="1">
                  <c:v>0</c:v>
                </c:pt>
                <c:pt idx="2">
                  <c:v>0</c:v>
                </c:pt>
                <c:pt idx="3">
                  <c:v>0</c:v>
                </c:pt>
                <c:pt idx="4">
                  <c:v>0</c:v>
                </c:pt>
                <c:pt idx="6">
                  <c:v>0</c:v>
                </c:pt>
                <c:pt idx="8">
                  <c:v>0</c:v>
                </c:pt>
                <c:pt idx="9">
                  <c:v>0</c:v>
                </c:pt>
                <c:pt idx="11">
                  <c:v>0</c:v>
                </c:pt>
                <c:pt idx="13">
                  <c:v>0</c:v>
                </c:pt>
                <c:pt idx="14">
                  <c:v>0</c:v>
                </c:pt>
              </c:numCache>
            </c:numRef>
          </c:val>
        </c:ser>
        <c:dLbls>
          <c:showLegendKey val="0"/>
          <c:showVal val="0"/>
          <c:showCatName val="0"/>
          <c:showSerName val="0"/>
          <c:showPercent val="0"/>
          <c:showBubbleSize val="0"/>
        </c:dLbls>
        <c:gapWidth val="27"/>
        <c:overlap val="100"/>
        <c:axId val="562418432"/>
        <c:axId val="572405104"/>
      </c:barChart>
      <c:catAx>
        <c:axId val="56241843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2405104"/>
        <c:crosses val="autoZero"/>
        <c:auto val="1"/>
        <c:lblAlgn val="ctr"/>
        <c:lblOffset val="100"/>
        <c:noMultiLvlLbl val="0"/>
      </c:catAx>
      <c:valAx>
        <c:axId val="572405104"/>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24184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Data!$AA$3</c:f>
          <c:strCache>
            <c:ptCount val="1"/>
            <c:pt idx="0">
              <c:v>Annual Waterfall: (Multiple Items), (All)</c:v>
            </c:pt>
          </c:strCache>
        </c:strRef>
      </c:tx>
      <c:layout>
        <c:manualLayout>
          <c:xMode val="edge"/>
          <c:yMode val="edge"/>
          <c:x val="0.27633614277457197"/>
          <c:y val="2.5252525252525252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523842269162119"/>
          <c:y val="3.0829290278109177E-2"/>
          <c:w val="0.86846076225370716"/>
          <c:h val="0.76481611980590802"/>
        </c:manualLayout>
      </c:layout>
      <c:barChart>
        <c:barDir val="col"/>
        <c:grouping val="stacked"/>
        <c:varyColors val="0"/>
        <c:ser>
          <c:idx val="0"/>
          <c:order val="0"/>
          <c:spPr>
            <a:noFill/>
            <a:ln>
              <a:noFill/>
            </a:ln>
            <a:effectLst/>
          </c:spPr>
          <c:invertIfNegative val="0"/>
          <c:dPt>
            <c:idx val="0"/>
            <c:invertIfNegative val="0"/>
            <c:bubble3D val="0"/>
            <c:spPr>
              <a:solidFill>
                <a:schemeClr val="tx2"/>
              </a:solidFill>
              <a:ln>
                <a:noFill/>
              </a:ln>
              <a:effectLst/>
            </c:spPr>
          </c:dPt>
          <c:dPt>
            <c:idx val="5"/>
            <c:invertIfNegative val="0"/>
            <c:bubble3D val="0"/>
            <c:spPr>
              <a:solidFill>
                <a:schemeClr val="tx2"/>
              </a:solidFill>
              <a:ln>
                <a:noFill/>
              </a:ln>
              <a:effectLst/>
            </c:spPr>
          </c:dPt>
          <c:dPt>
            <c:idx val="7"/>
            <c:invertIfNegative val="0"/>
            <c:bubble3D val="0"/>
            <c:spPr>
              <a:solidFill>
                <a:schemeClr val="tx2"/>
              </a:solidFill>
              <a:ln>
                <a:noFill/>
              </a:ln>
              <a:effectLst/>
            </c:spPr>
          </c:dPt>
          <c:dPt>
            <c:idx val="10"/>
            <c:invertIfNegative val="0"/>
            <c:bubble3D val="0"/>
            <c:spPr>
              <a:solidFill>
                <a:schemeClr val="tx2"/>
              </a:solidFill>
              <a:ln>
                <a:noFill/>
              </a:ln>
              <a:effectLst/>
            </c:spPr>
          </c:dPt>
          <c:dPt>
            <c:idx val="12"/>
            <c:invertIfNegative val="0"/>
            <c:bubble3D val="0"/>
            <c:spPr>
              <a:solidFill>
                <a:schemeClr val="tx2"/>
              </a:solidFill>
              <a:ln>
                <a:noFill/>
              </a:ln>
              <a:effectLst/>
            </c:spPr>
          </c:dPt>
          <c:dPt>
            <c:idx val="15"/>
            <c:invertIfNegative val="0"/>
            <c:bubble3D val="0"/>
            <c:spPr>
              <a:solidFill>
                <a:schemeClr val="tx2"/>
              </a:solidFill>
              <a:ln>
                <a:noFill/>
              </a:ln>
              <a:effectLst/>
            </c:spPr>
          </c:dPt>
          <c:dPt>
            <c:idx val="16"/>
            <c:invertIfNegative val="0"/>
            <c:bubble3D val="0"/>
            <c:spPr>
              <a:solidFill>
                <a:schemeClr val="accent3"/>
              </a:solidFill>
              <a:ln>
                <a:noFill/>
              </a:ln>
              <a:effectLst/>
            </c:spPr>
          </c:dPt>
          <c:cat>
            <c:strRef>
              <c:f>Data!$AA$7:$AA$23</c:f>
              <c:strCache>
                <c:ptCount val="17"/>
                <c:pt idx="0">
                  <c:v>Prod &amp; Mrkting Rev</c:v>
                </c:pt>
                <c:pt idx="1">
                  <c:v>Prod Costs</c:v>
                </c:pt>
                <c:pt idx="2">
                  <c:v>Explor Costs</c:v>
                </c:pt>
                <c:pt idx="3">
                  <c:v>Non-Income Tax</c:v>
                </c:pt>
                <c:pt idx="4">
                  <c:v>G&amp;A and Mrkting</c:v>
                </c:pt>
                <c:pt idx="5">
                  <c:v>Clean EBITDA</c:v>
                </c:pt>
                <c:pt idx="6">
                  <c:v>Upstream DD&amp;A</c:v>
                </c:pt>
                <c:pt idx="7">
                  <c:v>Clean EBIT</c:v>
                </c:pt>
                <c:pt idx="8">
                  <c:v>Total Interest Paid</c:v>
                </c:pt>
                <c:pt idx="9">
                  <c:v>Cash Paid for Income Tax</c:v>
                </c:pt>
                <c:pt idx="10">
                  <c:v>"EBBS"</c:v>
                </c:pt>
                <c:pt idx="11">
                  <c:v>The GAAP</c:v>
                </c:pt>
                <c:pt idx="12">
                  <c:v>Reported Net Income</c:v>
                </c:pt>
                <c:pt idx="13">
                  <c:v>Total DD&amp;A</c:v>
                </c:pt>
                <c:pt idx="14">
                  <c:v>Other CF Adjustments</c:v>
                </c:pt>
                <c:pt idx="15">
                  <c:v>CF from Operations</c:v>
                </c:pt>
                <c:pt idx="16">
                  <c:v>Capex</c:v>
                </c:pt>
              </c:strCache>
            </c:strRef>
          </c:cat>
          <c:val>
            <c:numRef>
              <c:f>Data!$AB$7:$AB$23</c:f>
              <c:numCache>
                <c:formatCode>0.00</c:formatCode>
                <c:ptCount val="17"/>
                <c:pt idx="0" formatCode="_(* #,##0.00_);_(* \(#,##0.00\);_(* &quot;-&quot;??_);_(@_)">
                  <c:v>48.17129388028259</c:v>
                </c:pt>
                <c:pt idx="1">
                  <c:v>43.938702095955406</c:v>
                </c:pt>
                <c:pt idx="2">
                  <c:v>41.901702458856732</c:v>
                </c:pt>
                <c:pt idx="3">
                  <c:v>39.17188412511922</c:v>
                </c:pt>
                <c:pt idx="4">
                  <c:v>31.820997926775693</c:v>
                </c:pt>
                <c:pt idx="5" formatCode="_(* #,##0.00_);_(* \(#,##0.00\);_(* &quot;-&quot;??_);_(@_)">
                  <c:v>31.860722637907756</c:v>
                </c:pt>
                <c:pt idx="6">
                  <c:v>18.744525976691101</c:v>
                </c:pt>
                <c:pt idx="7" formatCode="_(* #,##0.00_);_(* \(#,##0.00\);_(* &quot;-&quot;??_);_(@_)">
                  <c:v>18.744525976691101</c:v>
                </c:pt>
                <c:pt idx="8">
                  <c:v>16.40394894789808</c:v>
                </c:pt>
                <c:pt idx="9">
                  <c:v>12.542528154438198</c:v>
                </c:pt>
                <c:pt idx="10" formatCode="_(* #,##0.00_);_(* \(#,##0.00\);_(* &quot;-&quot;??_);_(@_)">
                  <c:v>12.542528154438202</c:v>
                </c:pt>
                <c:pt idx="11">
                  <c:v>1.4629637171124994</c:v>
                </c:pt>
                <c:pt idx="12" formatCode="_(* #,##0.00_);_(* \(#,##0.00\);_(* &quot;-&quot;??_);_(@_)">
                  <c:v>1.462963717112499</c:v>
                </c:pt>
                <c:pt idx="13">
                  <c:v>1.462963717112499</c:v>
                </c:pt>
                <c:pt idx="14" formatCode="_(* #,##0.00_);_(* \(#,##0.00\);_(* &quot;-&quot;??_);_(@_)">
                  <c:v>15.012620024878574</c:v>
                </c:pt>
                <c:pt idx="15" formatCode="_(* #,##0.00_);_(* \(#,##0.00\);_(* &quot;-&quot;??_);_(@_)">
                  <c:v>22.180463307704013</c:v>
                </c:pt>
                <c:pt idx="16" formatCode="_(* #,##0.00_);_(* \(#,##0.00\);_(* &quot;-&quot;??_);_(@_)">
                  <c:v>28.901920099717699</c:v>
                </c:pt>
              </c:numCache>
            </c:numRef>
          </c:val>
        </c:ser>
        <c:ser>
          <c:idx val="1"/>
          <c:order val="1"/>
          <c:spPr>
            <a:solidFill>
              <a:srgbClr val="C00000"/>
            </a:solidFill>
            <a:ln>
              <a:noFill/>
            </a:ln>
            <a:effectLst/>
          </c:spPr>
          <c:invertIfNegative val="0"/>
          <c:cat>
            <c:strRef>
              <c:f>Data!$AA$7:$AA$23</c:f>
              <c:strCache>
                <c:ptCount val="17"/>
                <c:pt idx="0">
                  <c:v>Prod &amp; Mrkting Rev</c:v>
                </c:pt>
                <c:pt idx="1">
                  <c:v>Prod Costs</c:v>
                </c:pt>
                <c:pt idx="2">
                  <c:v>Explor Costs</c:v>
                </c:pt>
                <c:pt idx="3">
                  <c:v>Non-Income Tax</c:v>
                </c:pt>
                <c:pt idx="4">
                  <c:v>G&amp;A and Mrkting</c:v>
                </c:pt>
                <c:pt idx="5">
                  <c:v>Clean EBITDA</c:v>
                </c:pt>
                <c:pt idx="6">
                  <c:v>Upstream DD&amp;A</c:v>
                </c:pt>
                <c:pt idx="7">
                  <c:v>Clean EBIT</c:v>
                </c:pt>
                <c:pt idx="8">
                  <c:v>Total Interest Paid</c:v>
                </c:pt>
                <c:pt idx="9">
                  <c:v>Cash Paid for Income Tax</c:v>
                </c:pt>
                <c:pt idx="10">
                  <c:v>"EBBS"</c:v>
                </c:pt>
                <c:pt idx="11">
                  <c:v>The GAAP</c:v>
                </c:pt>
                <c:pt idx="12">
                  <c:v>Reported Net Income</c:v>
                </c:pt>
                <c:pt idx="13">
                  <c:v>Total DD&amp;A</c:v>
                </c:pt>
                <c:pt idx="14">
                  <c:v>Other CF Adjustments</c:v>
                </c:pt>
                <c:pt idx="15">
                  <c:v>CF from Operations</c:v>
                </c:pt>
                <c:pt idx="16">
                  <c:v>Capex</c:v>
                </c:pt>
              </c:strCache>
            </c:strRef>
          </c:cat>
          <c:val>
            <c:numRef>
              <c:f>Data!$AC$7:$AC$23</c:f>
              <c:numCache>
                <c:formatCode>0.00</c:formatCode>
                <c:ptCount val="17"/>
                <c:pt idx="1">
                  <c:v>10.816361889855152</c:v>
                </c:pt>
                <c:pt idx="2">
                  <c:v>2.0369996370986718</c:v>
                </c:pt>
                <c:pt idx="3">
                  <c:v>2.7298183337375126</c:v>
                </c:pt>
                <c:pt idx="4">
                  <c:v>7.3508861983435283</c:v>
                </c:pt>
                <c:pt idx="6">
                  <c:v>13.116196661216655</c:v>
                </c:pt>
                <c:pt idx="8">
                  <c:v>2.3405770287930228</c:v>
                </c:pt>
                <c:pt idx="9">
                  <c:v>3.8614207934598821</c:v>
                </c:pt>
                <c:pt idx="11">
                  <c:v>11.079564437325702</c:v>
                </c:pt>
                <c:pt idx="13">
                  <c:v>0</c:v>
                </c:pt>
                <c:pt idx="14" formatCode="_(* #,##0.00_);_(* \(#,##0.00\);_(* &quot;-&quot;??_);_(@_)">
                  <c:v>0</c:v>
                </c:pt>
              </c:numCache>
            </c:numRef>
          </c:val>
        </c:ser>
        <c:ser>
          <c:idx val="2"/>
          <c:order val="2"/>
          <c:spPr>
            <a:solidFill>
              <a:schemeClr val="accent1">
                <a:lumMod val="60000"/>
                <a:lumOff val="40000"/>
              </a:schemeClr>
            </a:solidFill>
            <a:ln>
              <a:noFill/>
            </a:ln>
            <a:effectLst/>
          </c:spPr>
          <c:invertIfNegative val="0"/>
          <c:dPt>
            <c:idx val="0"/>
            <c:invertIfNegative val="0"/>
            <c:bubble3D val="0"/>
            <c:spPr>
              <a:solidFill>
                <a:schemeClr val="accent1"/>
              </a:solidFill>
              <a:ln>
                <a:noFill/>
              </a:ln>
              <a:effectLst/>
            </c:spPr>
          </c:dPt>
          <c:cat>
            <c:strRef>
              <c:f>Data!$AA$7:$AA$23</c:f>
              <c:strCache>
                <c:ptCount val="17"/>
                <c:pt idx="0">
                  <c:v>Prod &amp; Mrkting Rev</c:v>
                </c:pt>
                <c:pt idx="1">
                  <c:v>Prod Costs</c:v>
                </c:pt>
                <c:pt idx="2">
                  <c:v>Explor Costs</c:v>
                </c:pt>
                <c:pt idx="3">
                  <c:v>Non-Income Tax</c:v>
                </c:pt>
                <c:pt idx="4">
                  <c:v>G&amp;A and Mrkting</c:v>
                </c:pt>
                <c:pt idx="5">
                  <c:v>Clean EBITDA</c:v>
                </c:pt>
                <c:pt idx="6">
                  <c:v>Upstream DD&amp;A</c:v>
                </c:pt>
                <c:pt idx="7">
                  <c:v>Clean EBIT</c:v>
                </c:pt>
                <c:pt idx="8">
                  <c:v>Total Interest Paid</c:v>
                </c:pt>
                <c:pt idx="9">
                  <c:v>Cash Paid for Income Tax</c:v>
                </c:pt>
                <c:pt idx="10">
                  <c:v>"EBBS"</c:v>
                </c:pt>
                <c:pt idx="11">
                  <c:v>The GAAP</c:v>
                </c:pt>
                <c:pt idx="12">
                  <c:v>Reported Net Income</c:v>
                </c:pt>
                <c:pt idx="13">
                  <c:v>Total DD&amp;A</c:v>
                </c:pt>
                <c:pt idx="14">
                  <c:v>Other CF Adjustments</c:v>
                </c:pt>
                <c:pt idx="15">
                  <c:v>CF from Operations</c:v>
                </c:pt>
                <c:pt idx="16">
                  <c:v>Capex</c:v>
                </c:pt>
              </c:strCache>
            </c:strRef>
          </c:cat>
          <c:val>
            <c:numRef>
              <c:f>Data!$AE$7:$AE$23</c:f>
              <c:numCache>
                <c:formatCode>0.00</c:formatCode>
                <c:ptCount val="17"/>
                <c:pt idx="0" formatCode="_(* #,##0.00_);_(* \(#,##0.00\);_(* &quot;-&quot;??_);_(@_)">
                  <c:v>6.5837701055279672</c:v>
                </c:pt>
                <c:pt idx="1">
                  <c:v>0</c:v>
                </c:pt>
                <c:pt idx="2">
                  <c:v>0</c:v>
                </c:pt>
                <c:pt idx="3">
                  <c:v>0</c:v>
                </c:pt>
                <c:pt idx="4">
                  <c:v>0</c:v>
                </c:pt>
                <c:pt idx="6">
                  <c:v>0</c:v>
                </c:pt>
                <c:pt idx="8">
                  <c:v>0</c:v>
                </c:pt>
                <c:pt idx="9">
                  <c:v>0</c:v>
                </c:pt>
                <c:pt idx="11">
                  <c:v>0</c:v>
                </c:pt>
                <c:pt idx="13">
                  <c:v>13.549656307766075</c:v>
                </c:pt>
                <c:pt idx="14" formatCode="_(* #,##0.00_);_(* \(#,##0.00\);_(* &quot;-&quot;??_);_(@_)">
                  <c:v>7.1678432828254381</c:v>
                </c:pt>
              </c:numCache>
            </c:numRef>
          </c:val>
        </c:ser>
        <c:ser>
          <c:idx val="3"/>
          <c:order val="3"/>
          <c:spPr>
            <a:solidFill>
              <a:srgbClr val="C00000"/>
            </a:solidFill>
            <a:ln>
              <a:noFill/>
            </a:ln>
            <a:effectLst/>
          </c:spPr>
          <c:invertIfNegative val="0"/>
          <c:cat>
            <c:strRef>
              <c:f>Data!$AA$7:$AA$23</c:f>
              <c:strCache>
                <c:ptCount val="17"/>
                <c:pt idx="0">
                  <c:v>Prod &amp; Mrkting Rev</c:v>
                </c:pt>
                <c:pt idx="1">
                  <c:v>Prod Costs</c:v>
                </c:pt>
                <c:pt idx="2">
                  <c:v>Explor Costs</c:v>
                </c:pt>
                <c:pt idx="3">
                  <c:v>Non-Income Tax</c:v>
                </c:pt>
                <c:pt idx="4">
                  <c:v>G&amp;A and Mrkting</c:v>
                </c:pt>
                <c:pt idx="5">
                  <c:v>Clean EBITDA</c:v>
                </c:pt>
                <c:pt idx="6">
                  <c:v>Upstream DD&amp;A</c:v>
                </c:pt>
                <c:pt idx="7">
                  <c:v>Clean EBIT</c:v>
                </c:pt>
                <c:pt idx="8">
                  <c:v>Total Interest Paid</c:v>
                </c:pt>
                <c:pt idx="9">
                  <c:v>Cash Paid for Income Tax</c:v>
                </c:pt>
                <c:pt idx="10">
                  <c:v>"EBBS"</c:v>
                </c:pt>
                <c:pt idx="11">
                  <c:v>The GAAP</c:v>
                </c:pt>
                <c:pt idx="12">
                  <c:v>Reported Net Income</c:v>
                </c:pt>
                <c:pt idx="13">
                  <c:v>Total DD&amp;A</c:v>
                </c:pt>
                <c:pt idx="14">
                  <c:v>Other CF Adjustments</c:v>
                </c:pt>
                <c:pt idx="15">
                  <c:v>CF from Operations</c:v>
                </c:pt>
                <c:pt idx="16">
                  <c:v>Capex</c:v>
                </c:pt>
              </c:strCache>
            </c:strRef>
          </c:cat>
          <c:val>
            <c:numRef>
              <c:f>Data!$AD$7:$AD$23</c:f>
              <c:numCache>
                <c:formatCode>0.00</c:formatCode>
                <c:ptCount val="17"/>
                <c:pt idx="1">
                  <c:v>0</c:v>
                </c:pt>
                <c:pt idx="2">
                  <c:v>0</c:v>
                </c:pt>
                <c:pt idx="3">
                  <c:v>0</c:v>
                </c:pt>
                <c:pt idx="4">
                  <c:v>0</c:v>
                </c:pt>
                <c:pt idx="6">
                  <c:v>0</c:v>
                </c:pt>
                <c:pt idx="8">
                  <c:v>0</c:v>
                </c:pt>
                <c:pt idx="9">
                  <c:v>0</c:v>
                </c:pt>
                <c:pt idx="11">
                  <c:v>0</c:v>
                </c:pt>
                <c:pt idx="13">
                  <c:v>0</c:v>
                </c:pt>
                <c:pt idx="14" formatCode="_(* #,##0.00_);_(* \(#,##0.00\);_(* &quot;-&quot;??_);_(@_)">
                  <c:v>0</c:v>
                </c:pt>
              </c:numCache>
            </c:numRef>
          </c:val>
        </c:ser>
        <c:ser>
          <c:idx val="4"/>
          <c:order val="4"/>
          <c:spPr>
            <a:solidFill>
              <a:schemeClr val="accent1">
                <a:lumMod val="60000"/>
                <a:lumOff val="40000"/>
              </a:schemeClr>
            </a:solidFill>
            <a:ln>
              <a:noFill/>
            </a:ln>
            <a:effectLst/>
          </c:spPr>
          <c:invertIfNegative val="0"/>
          <c:cat>
            <c:strRef>
              <c:f>Data!$AA$7:$AA$23</c:f>
              <c:strCache>
                <c:ptCount val="17"/>
                <c:pt idx="0">
                  <c:v>Prod &amp; Mrkting Rev</c:v>
                </c:pt>
                <c:pt idx="1">
                  <c:v>Prod Costs</c:v>
                </c:pt>
                <c:pt idx="2">
                  <c:v>Explor Costs</c:v>
                </c:pt>
                <c:pt idx="3">
                  <c:v>Non-Income Tax</c:v>
                </c:pt>
                <c:pt idx="4">
                  <c:v>G&amp;A and Mrkting</c:v>
                </c:pt>
                <c:pt idx="5">
                  <c:v>Clean EBITDA</c:v>
                </c:pt>
                <c:pt idx="6">
                  <c:v>Upstream DD&amp;A</c:v>
                </c:pt>
                <c:pt idx="7">
                  <c:v>Clean EBIT</c:v>
                </c:pt>
                <c:pt idx="8">
                  <c:v>Total Interest Paid</c:v>
                </c:pt>
                <c:pt idx="9">
                  <c:v>Cash Paid for Income Tax</c:v>
                </c:pt>
                <c:pt idx="10">
                  <c:v>"EBBS"</c:v>
                </c:pt>
                <c:pt idx="11">
                  <c:v>The GAAP</c:v>
                </c:pt>
                <c:pt idx="12">
                  <c:v>Reported Net Income</c:v>
                </c:pt>
                <c:pt idx="13">
                  <c:v>Total DD&amp;A</c:v>
                </c:pt>
                <c:pt idx="14">
                  <c:v>Other CF Adjustments</c:v>
                </c:pt>
                <c:pt idx="15">
                  <c:v>CF from Operations</c:v>
                </c:pt>
                <c:pt idx="16">
                  <c:v>Capex</c:v>
                </c:pt>
              </c:strCache>
            </c:strRef>
          </c:cat>
          <c:val>
            <c:numRef>
              <c:f>Data!$AF$7:$AF$23</c:f>
              <c:numCache>
                <c:formatCode>0.00</c:formatCode>
                <c:ptCount val="17"/>
                <c:pt idx="1">
                  <c:v>0</c:v>
                </c:pt>
                <c:pt idx="2">
                  <c:v>0</c:v>
                </c:pt>
                <c:pt idx="3">
                  <c:v>0</c:v>
                </c:pt>
                <c:pt idx="4">
                  <c:v>0</c:v>
                </c:pt>
                <c:pt idx="6">
                  <c:v>0</c:v>
                </c:pt>
                <c:pt idx="8">
                  <c:v>0</c:v>
                </c:pt>
                <c:pt idx="9">
                  <c:v>0</c:v>
                </c:pt>
                <c:pt idx="11">
                  <c:v>0</c:v>
                </c:pt>
                <c:pt idx="13">
                  <c:v>0</c:v>
                </c:pt>
                <c:pt idx="14">
                  <c:v>0</c:v>
                </c:pt>
              </c:numCache>
            </c:numRef>
          </c:val>
        </c:ser>
        <c:dLbls>
          <c:showLegendKey val="0"/>
          <c:showVal val="0"/>
          <c:showCatName val="0"/>
          <c:showSerName val="0"/>
          <c:showPercent val="0"/>
          <c:showBubbleSize val="0"/>
        </c:dLbls>
        <c:gapWidth val="27"/>
        <c:overlap val="100"/>
        <c:axId val="533923600"/>
        <c:axId val="533924160"/>
      </c:barChart>
      <c:catAx>
        <c:axId val="533923600"/>
        <c:scaling>
          <c:orientation val="minMax"/>
        </c:scaling>
        <c:delete val="0"/>
        <c:axPos val="b"/>
        <c:numFmt formatCode="General" sourceLinked="1"/>
        <c:majorTickMark val="none"/>
        <c:minorTickMark val="none"/>
        <c:tickLblPos val="low"/>
        <c:spPr>
          <a:noFill/>
          <a:ln w="12700" cap="flat" cmpd="sng" algn="ctr">
            <a:solidFill>
              <a:schemeClr val="tx1"/>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33924160"/>
        <c:crosses val="autoZero"/>
        <c:auto val="1"/>
        <c:lblAlgn val="ctr"/>
        <c:lblOffset val="100"/>
        <c:noMultiLvlLbl val="0"/>
      </c:catAx>
      <c:valAx>
        <c:axId val="533924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$/BOE</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33923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en-US"/>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Earnings Quality</a:t>
            </a:r>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653297981251443"/>
          <c:y val="0.16260712187096016"/>
          <c:w val="0.67482890881899205"/>
          <c:h val="0.5895643044619423"/>
        </c:manualLayout>
      </c:layout>
      <c:barChart>
        <c:barDir val="col"/>
        <c:grouping val="clustered"/>
        <c:varyColors val="0"/>
        <c:ser>
          <c:idx val="0"/>
          <c:order val="0"/>
          <c:tx>
            <c:strRef>
              <c:f>'Other calcs'!$G$1</c:f>
              <c:strCache>
                <c:ptCount val="1"/>
                <c:pt idx="0">
                  <c:v>EBITDA</c:v>
                </c:pt>
              </c:strCache>
            </c:strRef>
          </c:tx>
          <c:spPr>
            <a:solidFill>
              <a:schemeClr val="accent1">
                <a:lumMod val="60000"/>
                <a:lumOff val="40000"/>
              </a:schemeClr>
            </a:solidFill>
            <a:ln>
              <a:solidFill>
                <a:schemeClr val="accent1">
                  <a:lumMod val="60000"/>
                  <a:lumOff val="40000"/>
                </a:schemeClr>
              </a:solidFill>
            </a:ln>
            <a:effectLst/>
          </c:spPr>
          <c:invertIfNegative val="0"/>
          <c:cat>
            <c:numRef>
              <c:f>'Other calcs'!$F$4:$F$10</c:f>
              <c:numCache>
                <c:formatCode>General</c:formatCode>
                <c:ptCount val="7"/>
                <c:pt idx="0">
                  <c:v>2009</c:v>
                </c:pt>
                <c:pt idx="1">
                  <c:v>2010</c:v>
                </c:pt>
                <c:pt idx="2">
                  <c:v>2011</c:v>
                </c:pt>
                <c:pt idx="3">
                  <c:v>2012</c:v>
                </c:pt>
                <c:pt idx="4">
                  <c:v>2013</c:v>
                </c:pt>
                <c:pt idx="5">
                  <c:v>2014</c:v>
                </c:pt>
                <c:pt idx="6">
                  <c:v>2015</c:v>
                </c:pt>
              </c:numCache>
            </c:numRef>
          </c:cat>
          <c:val>
            <c:numRef>
              <c:f>'Other calcs'!$G$4:$G$10</c:f>
              <c:numCache>
                <c:formatCode>_(* #,##0.00_);_(* \(#,##0.00\);_(* "-"??_);_(@_)</c:formatCode>
                <c:ptCount val="7"/>
                <c:pt idx="0">
                  <c:v>76675.016999999993</c:v>
                </c:pt>
                <c:pt idx="1">
                  <c:v>95169.579999999987</c:v>
                </c:pt>
                <c:pt idx="2">
                  <c:v>108771.28339999999</c:v>
                </c:pt>
                <c:pt idx="3">
                  <c:v>95501.568000000014</c:v>
                </c:pt>
                <c:pt idx="4">
                  <c:v>99944.288</c:v>
                </c:pt>
                <c:pt idx="5">
                  <c:v>99282.54</c:v>
                </c:pt>
                <c:pt idx="6">
                  <c:v>39089.972000000002</c:v>
                </c:pt>
              </c:numCache>
            </c:numRef>
          </c:val>
        </c:ser>
        <c:ser>
          <c:idx val="1"/>
          <c:order val="1"/>
          <c:tx>
            <c:strRef>
              <c:f>'Other calcs'!$H$1</c:f>
              <c:strCache>
                <c:ptCount val="1"/>
                <c:pt idx="0">
                  <c:v>EBIT</c:v>
                </c:pt>
              </c:strCache>
            </c:strRef>
          </c:tx>
          <c:spPr>
            <a:solidFill>
              <a:schemeClr val="accent1">
                <a:lumMod val="40000"/>
                <a:lumOff val="60000"/>
              </a:schemeClr>
            </a:solidFill>
            <a:ln>
              <a:solidFill>
                <a:schemeClr val="accent1">
                  <a:lumMod val="40000"/>
                  <a:lumOff val="60000"/>
                </a:schemeClr>
              </a:solidFill>
            </a:ln>
            <a:effectLst/>
          </c:spPr>
          <c:invertIfNegative val="0"/>
          <c:cat>
            <c:numRef>
              <c:f>'Other calcs'!$F$4:$F$10</c:f>
              <c:numCache>
                <c:formatCode>General</c:formatCode>
                <c:ptCount val="7"/>
                <c:pt idx="0">
                  <c:v>2009</c:v>
                </c:pt>
                <c:pt idx="1">
                  <c:v>2010</c:v>
                </c:pt>
                <c:pt idx="2">
                  <c:v>2011</c:v>
                </c:pt>
                <c:pt idx="3">
                  <c:v>2012</c:v>
                </c:pt>
                <c:pt idx="4">
                  <c:v>2013</c:v>
                </c:pt>
                <c:pt idx="5">
                  <c:v>2014</c:v>
                </c:pt>
                <c:pt idx="6">
                  <c:v>2015</c:v>
                </c:pt>
              </c:numCache>
            </c:numRef>
          </c:cat>
          <c:val>
            <c:numRef>
              <c:f>'Other calcs'!$H$4:$H$10</c:f>
              <c:numCache>
                <c:formatCode>_(* #,##0.00_);_(* \(#,##0.00\);_(* "-"??_);_(@_)</c:formatCode>
                <c:ptCount val="7"/>
                <c:pt idx="0">
                  <c:v>50706.119999999995</c:v>
                </c:pt>
                <c:pt idx="1">
                  <c:v>69198.088999999993</c:v>
                </c:pt>
                <c:pt idx="2">
                  <c:v>81117.595399999991</c:v>
                </c:pt>
                <c:pt idx="3">
                  <c:v>65374.420999999995</c:v>
                </c:pt>
                <c:pt idx="4">
                  <c:v>68262.828999999998</c:v>
                </c:pt>
                <c:pt idx="5">
                  <c:v>64835.027999999998</c:v>
                </c:pt>
                <c:pt idx="6">
                  <c:v>5897.1630000000005</c:v>
                </c:pt>
              </c:numCache>
            </c:numRef>
          </c:val>
        </c:ser>
        <c:dLbls>
          <c:showLegendKey val="0"/>
          <c:showVal val="0"/>
          <c:showCatName val="0"/>
          <c:showSerName val="0"/>
          <c:showPercent val="0"/>
          <c:showBubbleSize val="0"/>
        </c:dLbls>
        <c:gapWidth val="219"/>
        <c:overlap val="-27"/>
        <c:axId val="533928640"/>
        <c:axId val="533929200"/>
      </c:barChart>
      <c:lineChart>
        <c:grouping val="standard"/>
        <c:varyColors val="0"/>
        <c:ser>
          <c:idx val="2"/>
          <c:order val="2"/>
          <c:tx>
            <c:strRef>
              <c:f>'Other calcs'!$M$1</c:f>
              <c:strCache>
                <c:ptCount val="1"/>
                <c:pt idx="0">
                  <c:v>Chg EBITDA</c:v>
                </c:pt>
              </c:strCache>
            </c:strRef>
          </c:tx>
          <c:spPr>
            <a:ln w="28575" cap="rnd">
              <a:solidFill>
                <a:srgbClr val="FF0000"/>
              </a:solidFill>
              <a:round/>
            </a:ln>
            <a:effectLst/>
          </c:spPr>
          <c:marker>
            <c:symbol val="none"/>
          </c:marker>
          <c:val>
            <c:numRef>
              <c:f>'Other calcs'!$M$4:$M$10</c:f>
              <c:numCache>
                <c:formatCode>0%</c:formatCode>
                <c:ptCount val="7"/>
                <c:pt idx="1">
                  <c:v>0.2412071587802842</c:v>
                </c:pt>
                <c:pt idx="2">
                  <c:v>0.14292070428386894</c:v>
                </c:pt>
                <c:pt idx="3">
                  <c:v>-0.12199649563020576</c:v>
                </c:pt>
                <c:pt idx="4">
                  <c:v>4.6519864469659611E-2</c:v>
                </c:pt>
                <c:pt idx="5">
                  <c:v>-6.6211687855538548E-3</c:v>
                </c:pt>
                <c:pt idx="6">
                  <c:v>-0.60627546394360976</c:v>
                </c:pt>
              </c:numCache>
            </c:numRef>
          </c:val>
          <c:smooth val="0"/>
        </c:ser>
        <c:ser>
          <c:idx val="3"/>
          <c:order val="3"/>
          <c:tx>
            <c:strRef>
              <c:f>'Other calcs'!$O$1</c:f>
              <c:strCache>
                <c:ptCount val="1"/>
                <c:pt idx="0">
                  <c:v>Int as % EBIT</c:v>
                </c:pt>
              </c:strCache>
            </c:strRef>
          </c:tx>
          <c:spPr>
            <a:ln w="28575" cap="rnd">
              <a:solidFill>
                <a:schemeClr val="accent4"/>
              </a:solidFill>
              <a:round/>
            </a:ln>
            <a:effectLst/>
          </c:spPr>
          <c:marker>
            <c:symbol val="none"/>
          </c:marker>
          <c:val>
            <c:numRef>
              <c:f>'Other calcs'!$O$4:$O$10</c:f>
              <c:numCache>
                <c:formatCode>0%</c:formatCode>
                <c:ptCount val="7"/>
                <c:pt idx="0">
                  <c:v>0.10468564938512355</c:v>
                </c:pt>
                <c:pt idx="1">
                  <c:v>7.7050387908833728E-2</c:v>
                </c:pt>
                <c:pt idx="2">
                  <c:v>6.7408354168249918E-2</c:v>
                </c:pt>
                <c:pt idx="3">
                  <c:v>8.4262269795093103E-2</c:v>
                </c:pt>
                <c:pt idx="4">
                  <c:v>8.658372626191628E-2</c:v>
                </c:pt>
                <c:pt idx="5">
                  <c:v>8.8638972542229272E-2</c:v>
                </c:pt>
                <c:pt idx="6">
                  <c:v>1.0031890927891938</c:v>
                </c:pt>
              </c:numCache>
            </c:numRef>
          </c:val>
          <c:smooth val="0"/>
        </c:ser>
        <c:dLbls>
          <c:showLegendKey val="0"/>
          <c:showVal val="0"/>
          <c:showCatName val="0"/>
          <c:showSerName val="0"/>
          <c:showPercent val="0"/>
          <c:showBubbleSize val="0"/>
        </c:dLbls>
        <c:marker val="1"/>
        <c:smooth val="0"/>
        <c:axId val="533930320"/>
        <c:axId val="533929760"/>
      </c:lineChart>
      <c:catAx>
        <c:axId val="533928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33929200"/>
        <c:crosses val="autoZero"/>
        <c:auto val="1"/>
        <c:lblAlgn val="ctr"/>
        <c:lblOffset val="100"/>
        <c:noMultiLvlLbl val="0"/>
      </c:catAx>
      <c:valAx>
        <c:axId val="5339292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US" sz="1400" b="1"/>
                  <a:t>EBITDA, EBIT</a:t>
                </a:r>
              </a:p>
            </c:rich>
          </c:tx>
          <c:layout>
            <c:manualLayout>
              <c:xMode val="edge"/>
              <c:yMode val="edge"/>
              <c:x val="2.396644697423607E-3"/>
              <c:y val="0.25831159164805889"/>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33928640"/>
        <c:crosses val="autoZero"/>
        <c:crossBetween val="between"/>
        <c:dispUnits>
          <c:builtInUnit val="thousands"/>
        </c:dispUnits>
      </c:valAx>
      <c:valAx>
        <c:axId val="533929760"/>
        <c:scaling>
          <c:orientation val="minMax"/>
        </c:scaling>
        <c:delete val="0"/>
        <c:axPos val="r"/>
        <c:title>
          <c:tx>
            <c:rich>
              <a:bodyPr rot="5400000" spcFirstLastPara="1" vertOverflow="ellipsis" wrap="square" anchor="ctr" anchorCtr="1"/>
              <a:lstStyle/>
              <a:p>
                <a:pPr>
                  <a:defRPr sz="1400" b="1" i="0" u="none" strike="noStrike" kern="1200" baseline="0">
                    <a:solidFill>
                      <a:schemeClr val="tx1">
                        <a:lumMod val="65000"/>
                        <a:lumOff val="35000"/>
                      </a:schemeClr>
                    </a:solidFill>
                    <a:latin typeface="+mn-lt"/>
                    <a:ea typeface="+mn-ea"/>
                    <a:cs typeface="+mn-cs"/>
                  </a:defRPr>
                </a:pPr>
                <a:r>
                  <a:rPr lang="en-US" sz="1400" b="1"/>
                  <a:t>Chg EBITDA, Interest/EBI</a:t>
                </a:r>
              </a:p>
            </c:rich>
          </c:tx>
          <c:layout/>
          <c:overlay val="0"/>
          <c:spPr>
            <a:noFill/>
            <a:ln>
              <a:noFill/>
            </a:ln>
            <a:effectLst/>
          </c:spPr>
          <c:txPr>
            <a:bodyPr rot="5400000" spcFirstLastPara="1" vertOverflow="ellipsis"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33930320"/>
        <c:crosses val="max"/>
        <c:crossBetween val="between"/>
      </c:valAx>
      <c:catAx>
        <c:axId val="533930320"/>
        <c:scaling>
          <c:orientation val="minMax"/>
        </c:scaling>
        <c:delete val="1"/>
        <c:axPos val="b"/>
        <c:majorTickMark val="out"/>
        <c:minorTickMark val="none"/>
        <c:tickLblPos val="nextTo"/>
        <c:crossAx val="533929760"/>
        <c:crosses val="autoZero"/>
        <c:auto val="1"/>
        <c:lblAlgn val="ctr"/>
        <c:lblOffset val="100"/>
        <c:noMultiLvlLbl val="0"/>
      </c:catAx>
      <c:spPr>
        <a:noFill/>
        <a:ln>
          <a:noFill/>
        </a:ln>
        <a:effectLst/>
      </c:spPr>
    </c:plotArea>
    <c:legend>
      <c:legendPos val="b"/>
      <c:layout>
        <c:manualLayout>
          <c:xMode val="edge"/>
          <c:yMode val="edge"/>
          <c:x val="5.5283233394507521E-3"/>
          <c:y val="0.88722529086849222"/>
          <c:w val="0.98175323051664676"/>
          <c:h val="0.10083441062404513"/>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[CEE Upstream Waterfalls.xlsx]WSJ!PivotTable1</c:name>
    <c:fmtId val="20"/>
  </c:pivotSource>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w="25400">
            <a:noFill/>
          </a:ln>
          <a:effectLst/>
        </c:spPr>
        <c:marker>
          <c:symbol val="none"/>
        </c:marker>
      </c:pivotFmt>
      <c:pivotFmt>
        <c:idx val="7"/>
        <c:dLbl>
          <c:idx val="0"/>
          <c:layout>
            <c:manualLayout>
              <c:x val="-1.4650662452197888E-3"/>
              <c:y val="-8.4783549608085956E-2"/>
            </c:manualLayout>
          </c:layout>
          <c:showLegendKey val="0"/>
          <c:showVal val="1"/>
          <c:showCatName val="0"/>
          <c:showSerName val="0"/>
          <c:showPercent val="0"/>
          <c:showBubbleSize val="0"/>
          <c:extLst>
            <c:ext xmlns:c15="http://schemas.microsoft.com/office/drawing/2012/chart" uri="{CE6537A1-D6FC-4f65-9D91-7224C49458BB}"/>
          </c:extLst>
        </c:dLbl>
      </c:pivotFmt>
      <c:pivotFmt>
        <c:idx val="8"/>
      </c:pivotFmt>
      <c:pivotFmt>
        <c:idx val="9"/>
        <c:spPr>
          <a:solidFill>
            <a:schemeClr val="accent1"/>
          </a:solidFill>
          <a:ln w="25400">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col"/>
        <c:grouping val="clustered"/>
        <c:varyColors val="0"/>
        <c:ser>
          <c:idx val="0"/>
          <c:order val="0"/>
          <c:tx>
            <c:strRef>
              <c:f>WSJ!$I$3</c:f>
              <c:strCache>
                <c:ptCount val="1"/>
                <c:pt idx="0">
                  <c:v>Total</c:v>
                </c:pt>
              </c:strCache>
            </c:strRef>
          </c:tx>
          <c:spPr>
            <a:solidFill>
              <a:schemeClr val="accent1"/>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WSJ!$H$4:$H$12</c:f>
              <c:strCache>
                <c:ptCount val="8"/>
                <c:pt idx="0">
                  <c:v>2009</c:v>
                </c:pt>
                <c:pt idx="1">
                  <c:v>2010</c:v>
                </c:pt>
                <c:pt idx="2">
                  <c:v>2011</c:v>
                </c:pt>
                <c:pt idx="3">
                  <c:v>2012</c:v>
                </c:pt>
                <c:pt idx="4">
                  <c:v>2013</c:v>
                </c:pt>
                <c:pt idx="5">
                  <c:v>2014</c:v>
                </c:pt>
                <c:pt idx="6">
                  <c:v>2015</c:v>
                </c:pt>
                <c:pt idx="7">
                  <c:v>2016</c:v>
                </c:pt>
              </c:strCache>
            </c:strRef>
          </c:cat>
          <c:val>
            <c:numRef>
              <c:f>WSJ!$I$4:$I$12</c:f>
              <c:numCache>
                <c:formatCode>#,##0</c:formatCode>
                <c:ptCount val="8"/>
                <c:pt idx="0">
                  <c:v>-948.58699999999226</c:v>
                </c:pt>
                <c:pt idx="1">
                  <c:v>-29006.267999999996</c:v>
                </c:pt>
                <c:pt idx="2">
                  <c:v>-25421.981</c:v>
                </c:pt>
                <c:pt idx="3">
                  <c:v>-40154.233999999982</c:v>
                </c:pt>
                <c:pt idx="4">
                  <c:v>-15190.093999999997</c:v>
                </c:pt>
                <c:pt idx="5">
                  <c:v>-44547.688999999998</c:v>
                </c:pt>
                <c:pt idx="6">
                  <c:v>-33561.69</c:v>
                </c:pt>
                <c:pt idx="7">
                  <c:v>-23820.466</c:v>
                </c:pt>
              </c:numCache>
            </c:numRef>
          </c:val>
        </c:ser>
        <c:dLbls>
          <c:dLblPos val="outEnd"/>
          <c:showLegendKey val="0"/>
          <c:showVal val="1"/>
          <c:showCatName val="0"/>
          <c:showSerName val="0"/>
          <c:showPercent val="0"/>
          <c:showBubbleSize val="0"/>
        </c:dLbls>
        <c:gapWidth val="219"/>
        <c:axId val="552542208"/>
        <c:axId val="552542768"/>
      </c:barChart>
      <c:catAx>
        <c:axId val="552542208"/>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52542768"/>
        <c:crosses val="autoZero"/>
        <c:auto val="1"/>
        <c:lblAlgn val="ctr"/>
        <c:lblOffset val="100"/>
        <c:noMultiLvlLbl val="0"/>
      </c:catAx>
      <c:valAx>
        <c:axId val="5525427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$Millions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52542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[CEE Upstream Waterfalls.xlsx]Data!PivotTable1</c:name>
    <c:fmtId val="19"/>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s>
    <c:plotArea>
      <c:layout/>
      <c:barChart>
        <c:barDir val="col"/>
        <c:grouping val="stacked"/>
        <c:varyColors val="0"/>
        <c:ser>
          <c:idx val="0"/>
          <c:order val="0"/>
          <c:tx>
            <c:strRef>
              <c:f>Data!$Y$43</c:f>
              <c:strCache>
                <c:ptCount val="1"/>
                <c:pt idx="0">
                  <c:v> Revenue</c:v>
                </c:pt>
              </c:strCache>
            </c:strRef>
          </c:tx>
          <c:spPr>
            <a:solidFill>
              <a:schemeClr val="accent1"/>
            </a:solidFill>
            <a:ln>
              <a:noFill/>
            </a:ln>
            <a:effectLst/>
          </c:spPr>
          <c:invertIfNegative val="0"/>
          <c:cat>
            <c:strRef>
              <c:f>Data!$X$44:$X$51</c:f>
              <c:strCache>
                <c:ptCount val="8"/>
                <c:pt idx="0">
                  <c:v>2009</c:v>
                </c:pt>
                <c:pt idx="1">
                  <c:v>2010</c:v>
                </c:pt>
                <c:pt idx="2">
                  <c:v>2011</c:v>
                </c:pt>
                <c:pt idx="3">
                  <c:v>2012</c:v>
                </c:pt>
                <c:pt idx="4">
                  <c:v>2013</c:v>
                </c:pt>
                <c:pt idx="5">
                  <c:v>2014</c:v>
                </c:pt>
                <c:pt idx="6">
                  <c:v>2015</c:v>
                </c:pt>
                <c:pt idx="7">
                  <c:v>2016</c:v>
                </c:pt>
              </c:strCache>
            </c:strRef>
          </c:cat>
          <c:val>
            <c:numRef>
              <c:f>Data!$Y$44:$Y$51</c:f>
              <c:numCache>
                <c:formatCode>General</c:formatCode>
                <c:ptCount val="8"/>
                <c:pt idx="0">
                  <c:v>130106.35500000001</c:v>
                </c:pt>
                <c:pt idx="1">
                  <c:v>154394.88499999998</c:v>
                </c:pt>
                <c:pt idx="2">
                  <c:v>183166.201</c:v>
                </c:pt>
                <c:pt idx="3">
                  <c:v>177226.14900000003</c:v>
                </c:pt>
                <c:pt idx="4">
                  <c:v>188702.571</c:v>
                </c:pt>
                <c:pt idx="5">
                  <c:v>199501.74</c:v>
                </c:pt>
                <c:pt idx="6">
                  <c:v>116616.947</c:v>
                </c:pt>
                <c:pt idx="7">
                  <c:v>92190.03300000001</c:v>
                </c:pt>
              </c:numCache>
            </c:numRef>
          </c:val>
        </c:ser>
        <c:ser>
          <c:idx val="1"/>
          <c:order val="1"/>
          <c:tx>
            <c:strRef>
              <c:f>Data!$Z$43</c:f>
              <c:strCache>
                <c:ptCount val="1"/>
                <c:pt idx="0">
                  <c:v> Production Costs </c:v>
                </c:pt>
              </c:strCache>
            </c:strRef>
          </c:tx>
          <c:spPr>
            <a:solidFill>
              <a:schemeClr val="accent2"/>
            </a:solidFill>
            <a:ln>
              <a:noFill/>
            </a:ln>
            <a:effectLst/>
          </c:spPr>
          <c:invertIfNegative val="0"/>
          <c:cat>
            <c:strRef>
              <c:f>Data!$X$44:$X$51</c:f>
              <c:strCache>
                <c:ptCount val="8"/>
                <c:pt idx="0">
                  <c:v>2009</c:v>
                </c:pt>
                <c:pt idx="1">
                  <c:v>2010</c:v>
                </c:pt>
                <c:pt idx="2">
                  <c:v>2011</c:v>
                </c:pt>
                <c:pt idx="3">
                  <c:v>2012</c:v>
                </c:pt>
                <c:pt idx="4">
                  <c:v>2013</c:v>
                </c:pt>
                <c:pt idx="5">
                  <c:v>2014</c:v>
                </c:pt>
                <c:pt idx="6">
                  <c:v>2015</c:v>
                </c:pt>
                <c:pt idx="7">
                  <c:v>2016</c:v>
                </c:pt>
              </c:strCache>
            </c:strRef>
          </c:cat>
          <c:val>
            <c:numRef>
              <c:f>Data!$Z$44:$Z$51</c:f>
              <c:numCache>
                <c:formatCode>General</c:formatCode>
                <c:ptCount val="8"/>
                <c:pt idx="0">
                  <c:v>25256.625</c:v>
                </c:pt>
                <c:pt idx="1">
                  <c:v>24706.453999999998</c:v>
                </c:pt>
                <c:pt idx="2">
                  <c:v>29611.414999999997</c:v>
                </c:pt>
                <c:pt idx="3">
                  <c:v>31801.368999999999</c:v>
                </c:pt>
                <c:pt idx="4">
                  <c:v>35787.605000000003</c:v>
                </c:pt>
                <c:pt idx="5">
                  <c:v>37241.425000000003</c:v>
                </c:pt>
                <c:pt idx="6">
                  <c:v>33243.900999999998</c:v>
                </c:pt>
                <c:pt idx="7">
                  <c:v>27678.152000000002</c:v>
                </c:pt>
              </c:numCache>
            </c:numRef>
          </c:val>
        </c:ser>
        <c:ser>
          <c:idx val="2"/>
          <c:order val="2"/>
          <c:tx>
            <c:strRef>
              <c:f>Data!$AA$43</c:f>
              <c:strCache>
                <c:ptCount val="1"/>
                <c:pt idx="0">
                  <c:v> Exploration Costs </c:v>
                </c:pt>
              </c:strCache>
            </c:strRef>
          </c:tx>
          <c:spPr>
            <a:solidFill>
              <a:schemeClr val="accent3"/>
            </a:solidFill>
            <a:ln>
              <a:noFill/>
            </a:ln>
            <a:effectLst/>
          </c:spPr>
          <c:invertIfNegative val="0"/>
          <c:cat>
            <c:strRef>
              <c:f>Data!$X$44:$X$51</c:f>
              <c:strCache>
                <c:ptCount val="8"/>
                <c:pt idx="0">
                  <c:v>2009</c:v>
                </c:pt>
                <c:pt idx="1">
                  <c:v>2010</c:v>
                </c:pt>
                <c:pt idx="2">
                  <c:v>2011</c:v>
                </c:pt>
                <c:pt idx="3">
                  <c:v>2012</c:v>
                </c:pt>
                <c:pt idx="4">
                  <c:v>2013</c:v>
                </c:pt>
                <c:pt idx="5">
                  <c:v>2014</c:v>
                </c:pt>
                <c:pt idx="6">
                  <c:v>2015</c:v>
                </c:pt>
                <c:pt idx="7">
                  <c:v>2016</c:v>
                </c:pt>
              </c:strCache>
            </c:strRef>
          </c:cat>
          <c:val>
            <c:numRef>
              <c:f>Data!$AA$44:$AA$51</c:f>
              <c:numCache>
                <c:formatCode>General</c:formatCode>
                <c:ptCount val="8"/>
                <c:pt idx="0">
                  <c:v>4960.2069999999994</c:v>
                </c:pt>
                <c:pt idx="1">
                  <c:v>5213.7819999999992</c:v>
                </c:pt>
                <c:pt idx="2">
                  <c:v>4166.7070000000003</c:v>
                </c:pt>
                <c:pt idx="3">
                  <c:v>5441.1689999999999</c:v>
                </c:pt>
                <c:pt idx="4">
                  <c:v>5334.0709999999999</c:v>
                </c:pt>
                <c:pt idx="5">
                  <c:v>6315.0599999999995</c:v>
                </c:pt>
                <c:pt idx="6">
                  <c:v>9664.3659999999982</c:v>
                </c:pt>
                <c:pt idx="7">
                  <c:v>5106.0230000000001</c:v>
                </c:pt>
              </c:numCache>
            </c:numRef>
          </c:val>
        </c:ser>
        <c:ser>
          <c:idx val="3"/>
          <c:order val="3"/>
          <c:tx>
            <c:strRef>
              <c:f>Data!$AB$43</c:f>
              <c:strCache>
                <c:ptCount val="1"/>
                <c:pt idx="0">
                  <c:v> Non-Income Tax</c:v>
                </c:pt>
              </c:strCache>
            </c:strRef>
          </c:tx>
          <c:spPr>
            <a:solidFill>
              <a:schemeClr val="accent4"/>
            </a:solidFill>
            <a:ln>
              <a:noFill/>
            </a:ln>
            <a:effectLst/>
          </c:spPr>
          <c:invertIfNegative val="0"/>
          <c:cat>
            <c:strRef>
              <c:f>Data!$X$44:$X$51</c:f>
              <c:strCache>
                <c:ptCount val="8"/>
                <c:pt idx="0">
                  <c:v>2009</c:v>
                </c:pt>
                <c:pt idx="1">
                  <c:v>2010</c:v>
                </c:pt>
                <c:pt idx="2">
                  <c:v>2011</c:v>
                </c:pt>
                <c:pt idx="3">
                  <c:v>2012</c:v>
                </c:pt>
                <c:pt idx="4">
                  <c:v>2013</c:v>
                </c:pt>
                <c:pt idx="5">
                  <c:v>2014</c:v>
                </c:pt>
                <c:pt idx="6">
                  <c:v>2015</c:v>
                </c:pt>
                <c:pt idx="7">
                  <c:v>2016</c:v>
                </c:pt>
              </c:strCache>
            </c:strRef>
          </c:cat>
          <c:val>
            <c:numRef>
              <c:f>Data!$AB$44:$AB$51</c:f>
              <c:numCache>
                <c:formatCode>General</c:formatCode>
                <c:ptCount val="8"/>
                <c:pt idx="0">
                  <c:v>6866.4630000000006</c:v>
                </c:pt>
                <c:pt idx="1">
                  <c:v>9685.3580000000002</c:v>
                </c:pt>
                <c:pt idx="2">
                  <c:v>10694.011600000002</c:v>
                </c:pt>
                <c:pt idx="3">
                  <c:v>9865.9269999999997</c:v>
                </c:pt>
                <c:pt idx="4">
                  <c:v>8268.58</c:v>
                </c:pt>
                <c:pt idx="5">
                  <c:v>8614.0139999999992</c:v>
                </c:pt>
                <c:pt idx="6">
                  <c:v>4476.7049999999999</c:v>
                </c:pt>
                <c:pt idx="7">
                  <c:v>3444.2139999999999</c:v>
                </c:pt>
              </c:numCache>
            </c:numRef>
          </c:val>
        </c:ser>
        <c:ser>
          <c:idx val="4"/>
          <c:order val="4"/>
          <c:tx>
            <c:strRef>
              <c:f>Data!$AC$43</c:f>
              <c:strCache>
                <c:ptCount val="1"/>
                <c:pt idx="0">
                  <c:v> G&amp;A and Marketing </c:v>
                </c:pt>
              </c:strCache>
            </c:strRef>
          </c:tx>
          <c:spPr>
            <a:solidFill>
              <a:schemeClr val="accent5"/>
            </a:solidFill>
            <a:ln>
              <a:noFill/>
            </a:ln>
            <a:effectLst/>
          </c:spPr>
          <c:invertIfNegative val="0"/>
          <c:cat>
            <c:strRef>
              <c:f>Data!$X$44:$X$51</c:f>
              <c:strCache>
                <c:ptCount val="8"/>
                <c:pt idx="0">
                  <c:v>2009</c:v>
                </c:pt>
                <c:pt idx="1">
                  <c:v>2010</c:v>
                </c:pt>
                <c:pt idx="2">
                  <c:v>2011</c:v>
                </c:pt>
                <c:pt idx="3">
                  <c:v>2012</c:v>
                </c:pt>
                <c:pt idx="4">
                  <c:v>2013</c:v>
                </c:pt>
                <c:pt idx="5">
                  <c:v>2014</c:v>
                </c:pt>
                <c:pt idx="6">
                  <c:v>2015</c:v>
                </c:pt>
                <c:pt idx="7">
                  <c:v>2016</c:v>
                </c:pt>
              </c:strCache>
            </c:strRef>
          </c:cat>
          <c:val>
            <c:numRef>
              <c:f>Data!$AC$44:$AC$51</c:f>
              <c:numCache>
                <c:formatCode>General</c:formatCode>
                <c:ptCount val="8"/>
                <c:pt idx="0">
                  <c:v>9453.0800000000017</c:v>
                </c:pt>
                <c:pt idx="1">
                  <c:v>9279.6939999999995</c:v>
                </c:pt>
                <c:pt idx="2">
                  <c:v>20438.173999999999</c:v>
                </c:pt>
                <c:pt idx="3">
                  <c:v>21402.622000000003</c:v>
                </c:pt>
                <c:pt idx="4">
                  <c:v>24787.909</c:v>
                </c:pt>
                <c:pt idx="5">
                  <c:v>34596.881999999998</c:v>
                </c:pt>
                <c:pt idx="6">
                  <c:v>25629.427</c:v>
                </c:pt>
                <c:pt idx="7">
                  <c:v>21138.37</c:v>
                </c:pt>
              </c:numCache>
            </c:numRef>
          </c:val>
        </c:ser>
        <c:ser>
          <c:idx val="5"/>
          <c:order val="5"/>
          <c:tx>
            <c:strRef>
              <c:f>Data!$AD$43</c:f>
              <c:strCache>
                <c:ptCount val="1"/>
                <c:pt idx="0">
                  <c:v> Upstream DD&amp;A </c:v>
                </c:pt>
              </c:strCache>
            </c:strRef>
          </c:tx>
          <c:spPr>
            <a:solidFill>
              <a:schemeClr val="accent6"/>
            </a:solidFill>
            <a:ln>
              <a:noFill/>
            </a:ln>
            <a:effectLst/>
          </c:spPr>
          <c:invertIfNegative val="0"/>
          <c:cat>
            <c:strRef>
              <c:f>Data!$X$44:$X$51</c:f>
              <c:strCache>
                <c:ptCount val="8"/>
                <c:pt idx="0">
                  <c:v>2009</c:v>
                </c:pt>
                <c:pt idx="1">
                  <c:v>2010</c:v>
                </c:pt>
                <c:pt idx="2">
                  <c:v>2011</c:v>
                </c:pt>
                <c:pt idx="3">
                  <c:v>2012</c:v>
                </c:pt>
                <c:pt idx="4">
                  <c:v>2013</c:v>
                </c:pt>
                <c:pt idx="5">
                  <c:v>2014</c:v>
                </c:pt>
                <c:pt idx="6">
                  <c:v>2015</c:v>
                </c:pt>
                <c:pt idx="7">
                  <c:v>2016</c:v>
                </c:pt>
              </c:strCache>
            </c:strRef>
          </c:cat>
          <c:val>
            <c:numRef>
              <c:f>Data!$AD$44:$AD$51</c:f>
              <c:numCache>
                <c:formatCode>General</c:formatCode>
                <c:ptCount val="8"/>
                <c:pt idx="0">
                  <c:v>30947.275000000005</c:v>
                </c:pt>
                <c:pt idx="1">
                  <c:v>31892.881000000001</c:v>
                </c:pt>
                <c:pt idx="2">
                  <c:v>33581.010999999999</c:v>
                </c:pt>
                <c:pt idx="3">
                  <c:v>37449.482000000004</c:v>
                </c:pt>
                <c:pt idx="4">
                  <c:v>39276.862999999998</c:v>
                </c:pt>
                <c:pt idx="5">
                  <c:v>43561.602999999996</c:v>
                </c:pt>
                <c:pt idx="6">
                  <c:v>44014.398000000001</c:v>
                </c:pt>
                <c:pt idx="7">
                  <c:v>36766.207000000002</c:v>
                </c:pt>
              </c:numCache>
            </c:numRef>
          </c:val>
        </c:ser>
        <c:ser>
          <c:idx val="6"/>
          <c:order val="6"/>
          <c:tx>
            <c:strRef>
              <c:f>Data!$AE$43</c:f>
              <c:strCache>
                <c:ptCount val="1"/>
                <c:pt idx="0">
                  <c:v> Interest Expense </c:v>
                </c:pt>
              </c:strCache>
            </c:strRef>
          </c:tx>
          <c:spPr>
            <a:solidFill>
              <a:schemeClr val="accent1">
                <a:lumMod val="60000"/>
              </a:schemeClr>
            </a:solidFill>
            <a:ln>
              <a:noFill/>
            </a:ln>
            <a:effectLst/>
          </c:spPr>
          <c:invertIfNegative val="0"/>
          <c:cat>
            <c:strRef>
              <c:f>Data!$X$44:$X$51</c:f>
              <c:strCache>
                <c:ptCount val="8"/>
                <c:pt idx="0">
                  <c:v>2009</c:v>
                </c:pt>
                <c:pt idx="1">
                  <c:v>2010</c:v>
                </c:pt>
                <c:pt idx="2">
                  <c:v>2011</c:v>
                </c:pt>
                <c:pt idx="3">
                  <c:v>2012</c:v>
                </c:pt>
                <c:pt idx="4">
                  <c:v>2013</c:v>
                </c:pt>
                <c:pt idx="5">
                  <c:v>2014</c:v>
                </c:pt>
                <c:pt idx="6">
                  <c:v>2015</c:v>
                </c:pt>
                <c:pt idx="7">
                  <c:v>2016</c:v>
                </c:pt>
              </c:strCache>
            </c:strRef>
          </c:cat>
          <c:val>
            <c:numRef>
              <c:f>Data!$AE$44:$AE$51</c:f>
              <c:numCache>
                <c:formatCode>General</c:formatCode>
                <c:ptCount val="8"/>
                <c:pt idx="0">
                  <c:v>5971.6097099999997</c:v>
                </c:pt>
                <c:pt idx="1">
                  <c:v>6169.1056121874999</c:v>
                </c:pt>
                <c:pt idx="2">
                  <c:v>6239.3132662500002</c:v>
                </c:pt>
                <c:pt idx="3">
                  <c:v>6535.4799918999997</c:v>
                </c:pt>
                <c:pt idx="4">
                  <c:v>7139.1610767500006</c:v>
                </c:pt>
                <c:pt idx="5">
                  <c:v>6862.9111590833327</c:v>
                </c:pt>
                <c:pt idx="6">
                  <c:v>7038.7256223500008</c:v>
                </c:pt>
                <c:pt idx="7">
                  <c:v>7130.5466271208334</c:v>
                </c:pt>
              </c:numCache>
            </c:numRef>
          </c:val>
        </c:ser>
        <c:ser>
          <c:idx val="7"/>
          <c:order val="7"/>
          <c:tx>
            <c:strRef>
              <c:f>Data!$AF$43</c:f>
              <c:strCache>
                <c:ptCount val="1"/>
                <c:pt idx="0">
                  <c:v> Income Tax </c:v>
                </c:pt>
              </c:strCache>
            </c:strRef>
          </c:tx>
          <c:spPr>
            <a:solidFill>
              <a:schemeClr val="accent2">
                <a:lumMod val="60000"/>
              </a:schemeClr>
            </a:solidFill>
            <a:ln>
              <a:noFill/>
            </a:ln>
            <a:effectLst/>
          </c:spPr>
          <c:invertIfNegative val="0"/>
          <c:cat>
            <c:strRef>
              <c:f>Data!$X$44:$X$51</c:f>
              <c:strCache>
                <c:ptCount val="8"/>
                <c:pt idx="0">
                  <c:v>2009</c:v>
                </c:pt>
                <c:pt idx="1">
                  <c:v>2010</c:v>
                </c:pt>
                <c:pt idx="2">
                  <c:v>2011</c:v>
                </c:pt>
                <c:pt idx="3">
                  <c:v>2012</c:v>
                </c:pt>
                <c:pt idx="4">
                  <c:v>2013</c:v>
                </c:pt>
                <c:pt idx="5">
                  <c:v>2014</c:v>
                </c:pt>
                <c:pt idx="6">
                  <c:v>2015</c:v>
                </c:pt>
                <c:pt idx="7">
                  <c:v>2016</c:v>
                </c:pt>
              </c:strCache>
            </c:strRef>
          </c:cat>
          <c:val>
            <c:numRef>
              <c:f>Data!$AF$44:$AF$51</c:f>
              <c:numCache>
                <c:formatCode>General</c:formatCode>
                <c:ptCount val="8"/>
                <c:pt idx="0">
                  <c:v>6968.7060000000001</c:v>
                </c:pt>
                <c:pt idx="1">
                  <c:v>11665.72</c:v>
                </c:pt>
                <c:pt idx="2">
                  <c:v>18832.195</c:v>
                </c:pt>
                <c:pt idx="3">
                  <c:v>19914.472999999998</c:v>
                </c:pt>
                <c:pt idx="4">
                  <c:v>14164.215</c:v>
                </c:pt>
                <c:pt idx="5">
                  <c:v>13034.915000000001</c:v>
                </c:pt>
                <c:pt idx="6">
                  <c:v>2162.7379999999998</c:v>
                </c:pt>
                <c:pt idx="7">
                  <c:v>838.29499999999996</c:v>
                </c:pt>
              </c:numCache>
            </c:numRef>
          </c:val>
        </c:ser>
        <c:dLbls>
          <c:showLegendKey val="0"/>
          <c:showVal val="0"/>
          <c:showCatName val="0"/>
          <c:showSerName val="0"/>
          <c:showPercent val="0"/>
          <c:showBubbleSize val="0"/>
        </c:dLbls>
        <c:gapWidth val="150"/>
        <c:overlap val="100"/>
        <c:axId val="525893072"/>
        <c:axId val="525893632"/>
      </c:barChart>
      <c:catAx>
        <c:axId val="525893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5893632"/>
        <c:crosses val="autoZero"/>
        <c:auto val="1"/>
        <c:lblAlgn val="ctr"/>
        <c:lblOffset val="100"/>
        <c:noMultiLvlLbl val="0"/>
      </c:catAx>
      <c:valAx>
        <c:axId val="5258936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58930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[CEE Upstream Waterfalls.xlsx]Data!PivotTable3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w="28575" cap="rnd">
            <a:solidFill>
              <a:schemeClr val="accent1"/>
            </a:solidFill>
            <a:round/>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ln w="28575" cap="rnd">
            <a:solidFill>
              <a:schemeClr val="accent1"/>
            </a:solidFill>
            <a:round/>
          </a:ln>
          <a:effectLst/>
        </c:spPr>
        <c:marker>
          <c:symbol val="none"/>
        </c:marker>
      </c:pivotFmt>
    </c:pivotFmts>
    <c:plotArea>
      <c:layout/>
      <c:barChart>
        <c:barDir val="col"/>
        <c:grouping val="clustered"/>
        <c:varyColors val="0"/>
        <c:ser>
          <c:idx val="0"/>
          <c:order val="0"/>
          <c:tx>
            <c:strRef>
              <c:f>Data!$Y$73</c:f>
              <c:strCache>
                <c:ptCount val="1"/>
                <c:pt idx="0">
                  <c:v>Interest Expense </c:v>
                </c:pt>
              </c:strCache>
            </c:strRef>
          </c:tx>
          <c:spPr>
            <a:solidFill>
              <a:schemeClr val="accent1"/>
            </a:solidFill>
            <a:ln>
              <a:noFill/>
            </a:ln>
            <a:effectLst/>
          </c:spPr>
          <c:invertIfNegative val="0"/>
          <c:cat>
            <c:strRef>
              <c:f>Data!$X$74:$X$82</c:f>
              <c:strCache>
                <c:ptCount val="8"/>
                <c:pt idx="0">
                  <c:v>2009</c:v>
                </c:pt>
                <c:pt idx="1">
                  <c:v>2010</c:v>
                </c:pt>
                <c:pt idx="2">
                  <c:v>2011</c:v>
                </c:pt>
                <c:pt idx="3">
                  <c:v>2012</c:v>
                </c:pt>
                <c:pt idx="4">
                  <c:v>2013</c:v>
                </c:pt>
                <c:pt idx="5">
                  <c:v>2014</c:v>
                </c:pt>
                <c:pt idx="6">
                  <c:v>2015</c:v>
                </c:pt>
                <c:pt idx="7">
                  <c:v>2016</c:v>
                </c:pt>
              </c:strCache>
            </c:strRef>
          </c:cat>
          <c:val>
            <c:numRef>
              <c:f>Data!$Y$74:$Y$82</c:f>
              <c:numCache>
                <c:formatCode>General</c:formatCode>
                <c:ptCount val="8"/>
                <c:pt idx="0">
                  <c:v>5971.6097099999997</c:v>
                </c:pt>
                <c:pt idx="1">
                  <c:v>6169.1056121874999</c:v>
                </c:pt>
                <c:pt idx="2">
                  <c:v>6239.3132662500002</c:v>
                </c:pt>
                <c:pt idx="3">
                  <c:v>6535.4799918999997</c:v>
                </c:pt>
                <c:pt idx="4">
                  <c:v>7139.1610767500006</c:v>
                </c:pt>
                <c:pt idx="5">
                  <c:v>6862.9111590833327</c:v>
                </c:pt>
                <c:pt idx="6">
                  <c:v>7038.7256223500008</c:v>
                </c:pt>
                <c:pt idx="7">
                  <c:v>7130.5466271208334</c:v>
                </c:pt>
              </c:numCache>
            </c:numRef>
          </c:val>
        </c:ser>
        <c:dLbls>
          <c:showLegendKey val="0"/>
          <c:showVal val="0"/>
          <c:showCatName val="0"/>
          <c:showSerName val="0"/>
          <c:showPercent val="0"/>
          <c:showBubbleSize val="0"/>
        </c:dLbls>
        <c:gapWidth val="219"/>
        <c:axId val="525896432"/>
        <c:axId val="525896992"/>
      </c:barChart>
      <c:lineChart>
        <c:grouping val="standard"/>
        <c:varyColors val="0"/>
        <c:ser>
          <c:idx val="1"/>
          <c:order val="1"/>
          <c:tx>
            <c:strRef>
              <c:f>Data!$Z$73</c:f>
              <c:strCache>
                <c:ptCount val="1"/>
                <c:pt idx="0">
                  <c:v> Clean EBIT</c:v>
                </c:pt>
              </c:strCache>
            </c:strRef>
          </c:tx>
          <c:spPr>
            <a:ln w="28575" cap="rnd">
              <a:solidFill>
                <a:schemeClr val="accent2"/>
              </a:solidFill>
              <a:round/>
            </a:ln>
            <a:effectLst/>
          </c:spPr>
          <c:marker>
            <c:symbol val="none"/>
          </c:marker>
          <c:cat>
            <c:strRef>
              <c:f>Data!$X$74:$X$82</c:f>
              <c:strCache>
                <c:ptCount val="8"/>
                <c:pt idx="0">
                  <c:v>2009</c:v>
                </c:pt>
                <c:pt idx="1">
                  <c:v>2010</c:v>
                </c:pt>
                <c:pt idx="2">
                  <c:v>2011</c:v>
                </c:pt>
                <c:pt idx="3">
                  <c:v>2012</c:v>
                </c:pt>
                <c:pt idx="4">
                  <c:v>2013</c:v>
                </c:pt>
                <c:pt idx="5">
                  <c:v>2014</c:v>
                </c:pt>
                <c:pt idx="6">
                  <c:v>2015</c:v>
                </c:pt>
                <c:pt idx="7">
                  <c:v>2016</c:v>
                </c:pt>
              </c:strCache>
            </c:strRef>
          </c:cat>
          <c:val>
            <c:numRef>
              <c:f>Data!$Z$74:$Z$82</c:f>
              <c:numCache>
                <c:formatCode>General</c:formatCode>
                <c:ptCount val="8"/>
                <c:pt idx="0">
                  <c:v>52622.704999999994</c:v>
                </c:pt>
                <c:pt idx="1">
                  <c:v>73616.716</c:v>
                </c:pt>
                <c:pt idx="2">
                  <c:v>84674.882400000002</c:v>
                </c:pt>
                <c:pt idx="3">
                  <c:v>71265.579999999987</c:v>
                </c:pt>
                <c:pt idx="4">
                  <c:v>75247.543000000005</c:v>
                </c:pt>
                <c:pt idx="5">
                  <c:v>69172.755999999994</c:v>
                </c:pt>
                <c:pt idx="6">
                  <c:v>-411.849999999999</c:v>
                </c:pt>
                <c:pt idx="7">
                  <c:v>-1041.9329999999991</c:v>
                </c:pt>
              </c:numCache>
            </c:numRef>
          </c:val>
          <c:smooth val="0"/>
        </c:ser>
        <c:dLbls>
          <c:showLegendKey val="0"/>
          <c:showVal val="0"/>
          <c:showCatName val="0"/>
          <c:showSerName val="0"/>
          <c:showPercent val="0"/>
          <c:showBubbleSize val="0"/>
        </c:dLbls>
        <c:marker val="1"/>
        <c:smooth val="0"/>
        <c:axId val="525896432"/>
        <c:axId val="525896992"/>
      </c:lineChart>
      <c:catAx>
        <c:axId val="525896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5896992"/>
        <c:crosses val="autoZero"/>
        <c:auto val="1"/>
        <c:lblAlgn val="ctr"/>
        <c:lblOffset val="100"/>
        <c:noMultiLvlLbl val="0"/>
      </c:catAx>
      <c:valAx>
        <c:axId val="5258969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589643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[CEE Upstream Waterfalls.xlsx]Data!PivotTable4</c:name>
    <c:fmtId val="6"/>
  </c:pivotSource>
  <c:chart>
    <c:autoTitleDeleted val="0"/>
    <c:pivotFmts>
      <c:pivotFmt>
        <c:idx val="0"/>
        <c:spPr>
          <a:solidFill>
            <a:schemeClr val="accent1"/>
          </a:solidFill>
          <a:ln>
            <a:noFill/>
          </a:ln>
          <a:effectLst/>
        </c:spPr>
        <c:marker>
          <c:symbol val="none"/>
        </c:marker>
      </c:pivotFmt>
      <c:pivotFmt>
        <c:idx val="1"/>
        <c:spPr>
          <a:solidFill>
            <a:schemeClr val="accent1"/>
          </a:solidFill>
          <a:ln w="25400">
            <a:noFill/>
          </a:ln>
          <a:effectLst/>
        </c:spPr>
        <c:marker>
          <c:symbol val="none"/>
        </c:marker>
      </c:pivotFmt>
      <c:pivotFmt>
        <c:idx val="2"/>
        <c:spPr>
          <a:solidFill>
            <a:schemeClr val="accent1"/>
          </a:solidFill>
          <a:ln w="28575" cap="rnd">
            <a:solidFill>
              <a:schemeClr val="accent1"/>
            </a:solidFill>
            <a:round/>
          </a:ln>
          <a:effectLst/>
        </c:spPr>
        <c:marker>
          <c:symbol val="none"/>
        </c:marker>
      </c:pivotFmt>
      <c:pivotFmt>
        <c:idx val="3"/>
        <c:spPr>
          <a:solidFill>
            <a:schemeClr val="accent1"/>
          </a:solidFill>
          <a:ln w="25400">
            <a:noFill/>
          </a:ln>
          <a:effectLst/>
        </c:spPr>
        <c:marker>
          <c:symbol val="none"/>
        </c:marker>
      </c:pivotFmt>
      <c:pivotFmt>
        <c:idx val="4"/>
        <c:spPr>
          <a:solidFill>
            <a:schemeClr val="accent1"/>
          </a:solidFill>
          <a:ln w="25400">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s>
    <c:plotArea>
      <c:layout/>
      <c:barChart>
        <c:barDir val="col"/>
        <c:grouping val="clustered"/>
        <c:varyColors val="0"/>
        <c:ser>
          <c:idx val="0"/>
          <c:order val="0"/>
          <c:tx>
            <c:strRef>
              <c:f>Data!$Y$89</c:f>
              <c:strCache>
                <c:ptCount val="1"/>
                <c:pt idx="0">
                  <c:v> EBITDA</c:v>
                </c:pt>
              </c:strCache>
            </c:strRef>
          </c:tx>
          <c:spPr>
            <a:solidFill>
              <a:schemeClr val="accent1"/>
            </a:solidFill>
            <a:ln>
              <a:noFill/>
            </a:ln>
            <a:effectLst/>
          </c:spPr>
          <c:invertIfNegative val="0"/>
          <c:cat>
            <c:strRef>
              <c:f>Data!$X$90:$X$97</c:f>
              <c:strCache>
                <c:ptCount val="8"/>
                <c:pt idx="0">
                  <c:v>2009</c:v>
                </c:pt>
                <c:pt idx="1">
                  <c:v>2010</c:v>
                </c:pt>
                <c:pt idx="2">
                  <c:v>2011</c:v>
                </c:pt>
                <c:pt idx="3">
                  <c:v>2012</c:v>
                </c:pt>
                <c:pt idx="4">
                  <c:v>2013</c:v>
                </c:pt>
                <c:pt idx="5">
                  <c:v>2014</c:v>
                </c:pt>
                <c:pt idx="6">
                  <c:v>2015</c:v>
                </c:pt>
                <c:pt idx="7">
                  <c:v>2016</c:v>
                </c:pt>
              </c:strCache>
            </c:strRef>
          </c:cat>
          <c:val>
            <c:numRef>
              <c:f>Data!$Y$90:$Y$97</c:f>
              <c:numCache>
                <c:formatCode>#,##0</c:formatCode>
                <c:ptCount val="8"/>
                <c:pt idx="0">
                  <c:v>83569.98</c:v>
                </c:pt>
                <c:pt idx="1">
                  <c:v>105509.59699999999</c:v>
                </c:pt>
                <c:pt idx="2">
                  <c:v>118255.89339999999</c:v>
                </c:pt>
                <c:pt idx="3">
                  <c:v>108715.06200000001</c:v>
                </c:pt>
                <c:pt idx="4">
                  <c:v>114524.406</c:v>
                </c:pt>
                <c:pt idx="5">
                  <c:v>112734.35900000001</c:v>
                </c:pt>
                <c:pt idx="6">
                  <c:v>43602.547999999995</c:v>
                </c:pt>
                <c:pt idx="7">
                  <c:v>35724.273999999998</c:v>
                </c:pt>
              </c:numCache>
            </c:numRef>
          </c:val>
        </c:ser>
        <c:ser>
          <c:idx val="1"/>
          <c:order val="1"/>
          <c:tx>
            <c:strRef>
              <c:f>Data!$Z$89</c:f>
              <c:strCache>
                <c:ptCount val="1"/>
                <c:pt idx="0">
                  <c:v>EBIT</c:v>
                </c:pt>
              </c:strCache>
            </c:strRef>
          </c:tx>
          <c:spPr>
            <a:solidFill>
              <a:schemeClr val="accent2"/>
            </a:solidFill>
            <a:ln>
              <a:noFill/>
            </a:ln>
            <a:effectLst/>
          </c:spPr>
          <c:invertIfNegative val="0"/>
          <c:cat>
            <c:strRef>
              <c:f>Data!$X$90:$X$97</c:f>
              <c:strCache>
                <c:ptCount val="8"/>
                <c:pt idx="0">
                  <c:v>2009</c:v>
                </c:pt>
                <c:pt idx="1">
                  <c:v>2010</c:v>
                </c:pt>
                <c:pt idx="2">
                  <c:v>2011</c:v>
                </c:pt>
                <c:pt idx="3">
                  <c:v>2012</c:v>
                </c:pt>
                <c:pt idx="4">
                  <c:v>2013</c:v>
                </c:pt>
                <c:pt idx="5">
                  <c:v>2014</c:v>
                </c:pt>
                <c:pt idx="6">
                  <c:v>2015</c:v>
                </c:pt>
                <c:pt idx="7">
                  <c:v>2016</c:v>
                </c:pt>
              </c:strCache>
            </c:strRef>
          </c:cat>
          <c:val>
            <c:numRef>
              <c:f>Data!$Z$90:$Z$97</c:f>
              <c:numCache>
                <c:formatCode>#,##0</c:formatCode>
                <c:ptCount val="8"/>
                <c:pt idx="0">
                  <c:v>52622.704999999994</c:v>
                </c:pt>
                <c:pt idx="1">
                  <c:v>73616.716</c:v>
                </c:pt>
                <c:pt idx="2">
                  <c:v>84674.882400000002</c:v>
                </c:pt>
                <c:pt idx="3">
                  <c:v>71265.579999999987</c:v>
                </c:pt>
                <c:pt idx="4">
                  <c:v>75247.543000000005</c:v>
                </c:pt>
                <c:pt idx="5">
                  <c:v>69172.755999999994</c:v>
                </c:pt>
                <c:pt idx="6">
                  <c:v>-411.849999999999</c:v>
                </c:pt>
                <c:pt idx="7">
                  <c:v>-1041.9329999999991</c:v>
                </c:pt>
              </c:numCache>
            </c:numRef>
          </c:val>
        </c:ser>
        <c:ser>
          <c:idx val="2"/>
          <c:order val="2"/>
          <c:tx>
            <c:strRef>
              <c:f>Data!$AA$89</c:f>
              <c:strCache>
                <c:ptCount val="1"/>
                <c:pt idx="0">
                  <c:v>Total Upstream Cash Costs </c:v>
                </c:pt>
              </c:strCache>
            </c:strRef>
          </c:tx>
          <c:spPr>
            <a:solidFill>
              <a:schemeClr val="accent3"/>
            </a:solidFill>
            <a:ln>
              <a:noFill/>
            </a:ln>
            <a:effectLst/>
          </c:spPr>
          <c:invertIfNegative val="0"/>
          <c:cat>
            <c:strRef>
              <c:f>Data!$X$90:$X$97</c:f>
              <c:strCache>
                <c:ptCount val="8"/>
                <c:pt idx="0">
                  <c:v>2009</c:v>
                </c:pt>
                <c:pt idx="1">
                  <c:v>2010</c:v>
                </c:pt>
                <c:pt idx="2">
                  <c:v>2011</c:v>
                </c:pt>
                <c:pt idx="3">
                  <c:v>2012</c:v>
                </c:pt>
                <c:pt idx="4">
                  <c:v>2013</c:v>
                </c:pt>
                <c:pt idx="5">
                  <c:v>2014</c:v>
                </c:pt>
                <c:pt idx="6">
                  <c:v>2015</c:v>
                </c:pt>
                <c:pt idx="7">
                  <c:v>2016</c:v>
                </c:pt>
              </c:strCache>
            </c:strRef>
          </c:cat>
          <c:val>
            <c:numRef>
              <c:f>Data!$AA$90:$AA$97</c:f>
              <c:numCache>
                <c:formatCode>#,##0</c:formatCode>
                <c:ptCount val="8"/>
                <c:pt idx="0">
                  <c:v>59476.690709999995</c:v>
                </c:pt>
                <c:pt idx="1">
                  <c:v>66720.113612187502</c:v>
                </c:pt>
                <c:pt idx="2">
                  <c:v>89981.815866249992</c:v>
                </c:pt>
                <c:pt idx="3">
                  <c:v>94961.039991900005</c:v>
                </c:pt>
                <c:pt idx="4">
                  <c:v>95481.54107675</c:v>
                </c:pt>
                <c:pt idx="5">
                  <c:v>106665.20715908334</c:v>
                </c:pt>
                <c:pt idx="6">
                  <c:v>82215.862622349989</c:v>
                </c:pt>
                <c:pt idx="7">
                  <c:v>65335.600627120839</c:v>
                </c:pt>
              </c:numCache>
            </c:numRef>
          </c:val>
        </c:ser>
        <c:dLbls>
          <c:showLegendKey val="0"/>
          <c:showVal val="0"/>
          <c:showCatName val="0"/>
          <c:showSerName val="0"/>
          <c:showPercent val="0"/>
          <c:showBubbleSize val="0"/>
        </c:dLbls>
        <c:gapWidth val="219"/>
        <c:axId val="525900352"/>
        <c:axId val="525900912"/>
      </c:barChart>
      <c:catAx>
        <c:axId val="525900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5900912"/>
        <c:crosses val="autoZero"/>
        <c:auto val="1"/>
        <c:lblAlgn val="ctr"/>
        <c:lblOffset val="100"/>
        <c:noMultiLvlLbl val="0"/>
      </c:catAx>
      <c:valAx>
        <c:axId val="5259009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590035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[CEE Upstream Waterfalls.xlsx]Data!PivotTable6</c:name>
    <c:fmtId val="2"/>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manualLayout>
          <c:layoutTarget val="inner"/>
          <c:xMode val="edge"/>
          <c:yMode val="edge"/>
          <c:x val="0.15849759405074365"/>
          <c:y val="5.0925925925925923E-2"/>
          <c:w val="0.83849015748031497"/>
          <c:h val="0.80926727909011376"/>
        </c:manualLayout>
      </c:layout>
      <c:barChart>
        <c:barDir val="col"/>
        <c:grouping val="clustered"/>
        <c:varyColors val="0"/>
        <c:ser>
          <c:idx val="0"/>
          <c:order val="0"/>
          <c:tx>
            <c:strRef>
              <c:f>Data!$Y$104</c:f>
              <c:strCache>
                <c:ptCount val="1"/>
                <c:pt idx="0">
                  <c:v> CF from Operations</c:v>
                </c:pt>
              </c:strCache>
            </c:strRef>
          </c:tx>
          <c:spPr>
            <a:solidFill>
              <a:schemeClr val="accent1"/>
            </a:solidFill>
            <a:ln>
              <a:noFill/>
            </a:ln>
            <a:effectLst/>
          </c:spPr>
          <c:invertIfNegative val="0"/>
          <c:cat>
            <c:strRef>
              <c:f>Data!$X$105:$X$113</c:f>
              <c:strCache>
                <c:ptCount val="8"/>
                <c:pt idx="0">
                  <c:v>2009</c:v>
                </c:pt>
                <c:pt idx="1">
                  <c:v>2010</c:v>
                </c:pt>
                <c:pt idx="2">
                  <c:v>2011</c:v>
                </c:pt>
                <c:pt idx="3">
                  <c:v>2012</c:v>
                </c:pt>
                <c:pt idx="4">
                  <c:v>2013</c:v>
                </c:pt>
                <c:pt idx="5">
                  <c:v>2014</c:v>
                </c:pt>
                <c:pt idx="6">
                  <c:v>2015</c:v>
                </c:pt>
                <c:pt idx="7">
                  <c:v>2016</c:v>
                </c:pt>
              </c:strCache>
            </c:strRef>
          </c:cat>
          <c:val>
            <c:numRef>
              <c:f>Data!$Y$105:$Y$113</c:f>
              <c:numCache>
                <c:formatCode>_(* #,##0.00_);_(* \(#,##0.00\);_(* "-"??_);_(@_)</c:formatCode>
                <c:ptCount val="8"/>
                <c:pt idx="0">
                  <c:v>22.958840397443662</c:v>
                </c:pt>
                <c:pt idx="1">
                  <c:v>25.598448629150191</c:v>
                </c:pt>
                <c:pt idx="2">
                  <c:v>29.077812914930611</c:v>
                </c:pt>
                <c:pt idx="3">
                  <c:v>24.940033757028505</c:v>
                </c:pt>
                <c:pt idx="4">
                  <c:v>27.871110560110743</c:v>
                </c:pt>
                <c:pt idx="5">
                  <c:v>29.091544228044082</c:v>
                </c:pt>
                <c:pt idx="6">
                  <c:v>11.263839327337228</c:v>
                </c:pt>
                <c:pt idx="7">
                  <c:v>8.190443921165885</c:v>
                </c:pt>
              </c:numCache>
            </c:numRef>
          </c:val>
        </c:ser>
        <c:ser>
          <c:idx val="1"/>
          <c:order val="1"/>
          <c:tx>
            <c:strRef>
              <c:f>Data!$Z$104</c:f>
              <c:strCache>
                <c:ptCount val="1"/>
                <c:pt idx="0">
                  <c:v> Capex </c:v>
                </c:pt>
              </c:strCache>
            </c:strRef>
          </c:tx>
          <c:spPr>
            <a:solidFill>
              <a:schemeClr val="accent2"/>
            </a:solidFill>
            <a:ln>
              <a:noFill/>
            </a:ln>
            <a:effectLst/>
          </c:spPr>
          <c:invertIfNegative val="0"/>
          <c:cat>
            <c:strRef>
              <c:f>Data!$X$105:$X$113</c:f>
              <c:strCache>
                <c:ptCount val="8"/>
                <c:pt idx="0">
                  <c:v>2009</c:v>
                </c:pt>
                <c:pt idx="1">
                  <c:v>2010</c:v>
                </c:pt>
                <c:pt idx="2">
                  <c:v>2011</c:v>
                </c:pt>
                <c:pt idx="3">
                  <c:v>2012</c:v>
                </c:pt>
                <c:pt idx="4">
                  <c:v>2013</c:v>
                </c:pt>
                <c:pt idx="5">
                  <c:v>2014</c:v>
                </c:pt>
                <c:pt idx="6">
                  <c:v>2015</c:v>
                </c:pt>
                <c:pt idx="7">
                  <c:v>2016</c:v>
                </c:pt>
              </c:strCache>
            </c:strRef>
          </c:cat>
          <c:val>
            <c:numRef>
              <c:f>Data!$Z$105:$Z$113</c:f>
              <c:numCache>
                <c:formatCode>_(* #,##0.00_);_(* \(#,##0.00\);_(* "-"??_);_(@_)</c:formatCode>
                <c:ptCount val="8"/>
                <c:pt idx="0">
                  <c:v>20.655362441546192</c:v>
                </c:pt>
                <c:pt idx="1">
                  <c:v>34.094331151210362</c:v>
                </c:pt>
                <c:pt idx="2">
                  <c:v>35.719384213667517</c:v>
                </c:pt>
                <c:pt idx="3">
                  <c:v>35.912774879455689</c:v>
                </c:pt>
                <c:pt idx="4">
                  <c:v>30.380259581667879</c:v>
                </c:pt>
                <c:pt idx="5">
                  <c:v>41.247249242911025</c:v>
                </c:pt>
                <c:pt idx="6">
                  <c:v>19.277003969728099</c:v>
                </c:pt>
                <c:pt idx="7">
                  <c:v>14.513077587012416</c:v>
                </c:pt>
              </c:numCache>
            </c:numRef>
          </c:val>
        </c:ser>
        <c:dLbls>
          <c:showLegendKey val="0"/>
          <c:showVal val="0"/>
          <c:showCatName val="0"/>
          <c:showSerName val="0"/>
          <c:showPercent val="0"/>
          <c:showBubbleSize val="0"/>
        </c:dLbls>
        <c:gapWidth val="219"/>
        <c:overlap val="-27"/>
        <c:axId val="582677104"/>
        <c:axId val="582677664"/>
      </c:barChart>
      <c:catAx>
        <c:axId val="582677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82677664"/>
        <c:crosses val="autoZero"/>
        <c:auto val="1"/>
        <c:lblAlgn val="ctr"/>
        <c:lblOffset val="100"/>
        <c:noMultiLvlLbl val="0"/>
      </c:catAx>
      <c:valAx>
        <c:axId val="582677664"/>
        <c:scaling>
          <c:orientation val="minMax"/>
        </c:scaling>
        <c:delete val="0"/>
        <c:axPos val="l"/>
        <c:title>
          <c:tx>
            <c:rich>
              <a:bodyPr rot="-54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sz="1600" b="1"/>
                  <a:t>$/BOE</a:t>
                </a:r>
              </a:p>
            </c:rich>
          </c:tx>
          <c:overlay val="0"/>
          <c:spPr>
            <a:noFill/>
            <a:ln>
              <a:noFill/>
            </a:ln>
            <a:effectLst/>
          </c:spPr>
          <c:txPr>
            <a:bodyPr rot="-54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82677104"/>
        <c:crosses val="autoZero"/>
        <c:crossBetween val="between"/>
      </c:valAx>
      <c:spPr>
        <a:noFill/>
        <a:ln>
          <a:noFill/>
        </a:ln>
        <a:effectLst/>
      </c:spPr>
    </c:plotArea>
    <c:legend>
      <c:legendPos val="r"/>
      <c:layout>
        <c:manualLayout>
          <c:xMode val="edge"/>
          <c:yMode val="edge"/>
          <c:x val="0.17377252843394583"/>
          <c:y val="1.9096675415573076E-2"/>
          <c:w val="0.49976990376202973"/>
          <c:h val="0.19138232720909887"/>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[CEE Upstream Waterfalls.xlsx]Data!PivotTable1</c:name>
    <c:fmtId val="26"/>
  </c:pivotSource>
  <c:chart>
    <c:title>
      <c:tx>
        <c:rich>
          <a:bodyPr rot="0" spcFirstLastPara="1" vertOverflow="ellipsis" vert="horz" wrap="square" anchor="ctr" anchorCtr="1"/>
          <a:lstStyle/>
          <a:p>
            <a:pPr>
              <a:defRPr sz="1680" b="1" i="0" u="none" strike="noStrike" kern="1200" baseline="0">
                <a:solidFill>
                  <a:schemeClr val="tx2"/>
                </a:solidFill>
                <a:latin typeface="+mn-lt"/>
                <a:ea typeface="+mn-ea"/>
                <a:cs typeface="+mn-cs"/>
              </a:defRPr>
            </a:pPr>
            <a:r>
              <a:rPr lang="en-US"/>
              <a:t>Revenue and Cost Breakdown</a:t>
            </a:r>
          </a:p>
        </c:rich>
      </c:tx>
      <c:layout/>
      <c:overlay val="0"/>
      <c:spPr>
        <a:noFill/>
        <a:ln>
          <a:noFill/>
        </a:ln>
        <a:effectLst/>
      </c:spPr>
      <c:txPr>
        <a:bodyPr rot="0" spcFirstLastPara="1" vertOverflow="ellipsis" vert="horz" wrap="square" anchor="ctr" anchorCtr="1"/>
        <a:lstStyle/>
        <a:p>
          <a:pPr>
            <a:defRPr sz="1680" b="1" i="0" u="none" strike="noStrike" kern="1200" baseline="0">
              <a:solidFill>
                <a:schemeClr val="tx2"/>
              </a:solidFill>
              <a:latin typeface="+mn-lt"/>
              <a:ea typeface="+mn-ea"/>
              <a:cs typeface="+mn-cs"/>
            </a:defRPr>
          </a:pPr>
          <a:endParaRPr lang="en-US"/>
        </a:p>
      </c:txPr>
    </c:title>
    <c:autoTitleDeleted val="0"/>
    <c:pivotFmts>
      <c:pivotFmt>
        <c:idx val="0"/>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pivotFmt>
      <c:pivotFmt>
        <c:idx val="11"/>
      </c:pivotFmt>
      <c:pivotFmt>
        <c:idx val="12"/>
      </c:pivotFmt>
      <c:pivotFmt>
        <c:idx val="13"/>
      </c:pivotFmt>
      <c:pivotFmt>
        <c:idx val="14"/>
      </c:pivotFmt>
      <c:pivotFmt>
        <c:idx val="15"/>
      </c:pivotFmt>
      <c:pivotFmt>
        <c:idx val="1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pivotFmt>
      <c:pivotFmt>
        <c:idx val="1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pivotFmt>
      <c:pivotFmt>
        <c:idx val="1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pivotFmt>
      <c:pivotFmt>
        <c:idx val="1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pivotFmt>
      <c:pivotFmt>
        <c:idx val="20"/>
        <c:spPr>
          <a:solidFill>
            <a:schemeClr val="accent5">
              <a:lumMod val="20000"/>
              <a:lumOff val="80000"/>
            </a:schemeClr>
          </a:solidFill>
          <a:ln>
            <a:noFill/>
          </a:ln>
          <a:effectLst/>
        </c:spPr>
        <c:marker>
          <c:symbol val="none"/>
        </c:marker>
      </c:pivotFmt>
      <c:pivotFmt>
        <c:idx val="2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pivotFmt>
      <c:pivotFmt>
        <c:idx val="2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pivotFmt>
      <c:pivotFmt>
        <c:idx val="23"/>
        <c:spPr>
          <a:ln w="31750" cap="rnd">
            <a:solidFill>
              <a:schemeClr val="accent6">
                <a:lumMod val="60000"/>
                <a:lumOff val="40000"/>
              </a:schemeClr>
            </a:solidFill>
            <a:round/>
          </a:ln>
          <a:effectLst/>
        </c:spPr>
        <c:marker>
          <c:symbol val="none"/>
        </c:marker>
        <c:dLbl>
          <c:idx val="0"/>
          <c:layout/>
          <c:numFmt formatCode="#,##0" sourceLinked="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ext>
          </c:extLst>
        </c:dLbl>
      </c:pivotFmt>
      <c:pivotFmt>
        <c:idx val="2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chemeClr val="accent1"/>
            </a:solidFill>
            <a:round/>
          </a:ln>
          <a:effectLst/>
        </c:spPr>
        <c:marker>
          <c:symbol val="none"/>
        </c:marker>
      </c:pivotFmt>
      <c:pivotFmt>
        <c:idx val="25"/>
        <c:spPr>
          <a:ln w="31750" cap="rnd">
            <a:solidFill>
              <a:schemeClr val="accent6">
                <a:lumMod val="60000"/>
                <a:lumOff val="40000"/>
              </a:schemeClr>
            </a:solidFill>
            <a:round/>
          </a:ln>
          <a:effectLst/>
        </c:spPr>
        <c:marker>
          <c:symbol val="none"/>
        </c:marker>
      </c:pivotFmt>
      <c:pivotFmt>
        <c:idx val="26"/>
        <c:spPr>
          <a:ln w="31750" cap="rnd">
            <a:solidFill>
              <a:schemeClr val="accent6">
                <a:lumMod val="60000"/>
                <a:lumOff val="40000"/>
              </a:schemeClr>
            </a:solidFill>
            <a:round/>
          </a:ln>
          <a:effectLst/>
        </c:spPr>
        <c:marker>
          <c:symbol val="none"/>
        </c:marker>
      </c:pivotFmt>
      <c:pivotFmt>
        <c:idx val="27"/>
        <c:spPr>
          <a:ln w="31750" cap="rnd">
            <a:solidFill>
              <a:schemeClr val="accent6">
                <a:lumMod val="60000"/>
                <a:lumOff val="40000"/>
              </a:schemeClr>
            </a:solidFill>
            <a:round/>
          </a:ln>
          <a:effectLst/>
        </c:spPr>
        <c:marker>
          <c:symbol val="none"/>
        </c:marker>
      </c:pivotFmt>
      <c:pivotFmt>
        <c:idx val="28"/>
        <c:spPr>
          <a:ln w="31750" cap="rnd">
            <a:solidFill>
              <a:schemeClr val="accent6">
                <a:lumMod val="60000"/>
                <a:lumOff val="40000"/>
              </a:schemeClr>
            </a:solidFill>
            <a:round/>
          </a:ln>
          <a:effectLst/>
        </c:spPr>
        <c:marker>
          <c:symbol val="none"/>
        </c:marker>
      </c:pivotFmt>
      <c:pivotFmt>
        <c:idx val="29"/>
        <c:spPr>
          <a:ln w="31750" cap="rnd">
            <a:solidFill>
              <a:schemeClr val="accent6">
                <a:lumMod val="60000"/>
                <a:lumOff val="40000"/>
              </a:schemeClr>
            </a:solidFill>
            <a:round/>
          </a:ln>
          <a:effectLst/>
        </c:spPr>
        <c:marker>
          <c:symbol val="none"/>
        </c:marker>
      </c:pivotFmt>
      <c:pivotFmt>
        <c:idx val="30"/>
        <c:spPr>
          <a:ln w="31750" cap="rnd">
            <a:solidFill>
              <a:schemeClr val="accent6">
                <a:lumMod val="60000"/>
                <a:lumOff val="40000"/>
              </a:schemeClr>
            </a:solidFill>
            <a:round/>
          </a:ln>
          <a:effectLst/>
        </c:spPr>
        <c:marker>
          <c:symbol val="none"/>
        </c:marker>
      </c:pivotFmt>
      <c:pivotFmt>
        <c:idx val="31"/>
        <c:spPr>
          <a:ln w="31750" cap="rnd">
            <a:solidFill>
              <a:schemeClr val="accent6">
                <a:lumMod val="60000"/>
                <a:lumOff val="40000"/>
              </a:schemeClr>
            </a:solidFill>
            <a:round/>
          </a:ln>
          <a:effectLst/>
        </c:spPr>
        <c:marker>
          <c:symbol val="none"/>
        </c:marker>
      </c:pivotFmt>
      <c:pivotFmt>
        <c:idx val="32"/>
        <c:spPr>
          <a:ln w="31750" cap="rnd">
            <a:solidFill>
              <a:schemeClr val="accent6">
                <a:lumMod val="60000"/>
                <a:lumOff val="40000"/>
              </a:schemeClr>
            </a:solidFill>
            <a:round/>
          </a:ln>
          <a:effectLst/>
        </c:spPr>
        <c:marker>
          <c:symbol val="none"/>
        </c:marker>
      </c:pivotFmt>
    </c:pivotFmts>
    <c:plotArea>
      <c:layout/>
      <c:barChart>
        <c:barDir val="col"/>
        <c:grouping val="stacked"/>
        <c:varyColors val="0"/>
        <c:ser>
          <c:idx val="1"/>
          <c:order val="1"/>
          <c:tx>
            <c:strRef>
              <c:f>Data!$Z$43</c:f>
              <c:strCache>
                <c:ptCount val="1"/>
                <c:pt idx="0">
                  <c:v> Production Costs </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cat>
            <c:strRef>
              <c:f>Data!$X$44:$X$51</c:f>
              <c:strCache>
                <c:ptCount val="8"/>
                <c:pt idx="0">
                  <c:v>2009</c:v>
                </c:pt>
                <c:pt idx="1">
                  <c:v>2010</c:v>
                </c:pt>
                <c:pt idx="2">
                  <c:v>2011</c:v>
                </c:pt>
                <c:pt idx="3">
                  <c:v>2012</c:v>
                </c:pt>
                <c:pt idx="4">
                  <c:v>2013</c:v>
                </c:pt>
                <c:pt idx="5">
                  <c:v>2014</c:v>
                </c:pt>
                <c:pt idx="6">
                  <c:v>2015</c:v>
                </c:pt>
                <c:pt idx="7">
                  <c:v>2016</c:v>
                </c:pt>
              </c:strCache>
            </c:strRef>
          </c:cat>
          <c:val>
            <c:numRef>
              <c:f>Data!$Z$44:$Z$51</c:f>
              <c:numCache>
                <c:formatCode>General</c:formatCode>
                <c:ptCount val="8"/>
                <c:pt idx="0">
                  <c:v>25256.625</c:v>
                </c:pt>
                <c:pt idx="1">
                  <c:v>24706.453999999998</c:v>
                </c:pt>
                <c:pt idx="2">
                  <c:v>29611.414999999997</c:v>
                </c:pt>
                <c:pt idx="3">
                  <c:v>31801.368999999999</c:v>
                </c:pt>
                <c:pt idx="4">
                  <c:v>35787.605000000003</c:v>
                </c:pt>
                <c:pt idx="5">
                  <c:v>37241.425000000003</c:v>
                </c:pt>
                <c:pt idx="6">
                  <c:v>33243.900999999998</c:v>
                </c:pt>
                <c:pt idx="7">
                  <c:v>27678.152000000002</c:v>
                </c:pt>
              </c:numCache>
            </c:numRef>
          </c:val>
        </c:ser>
        <c:ser>
          <c:idx val="2"/>
          <c:order val="2"/>
          <c:tx>
            <c:strRef>
              <c:f>Data!$AA$43</c:f>
              <c:strCache>
                <c:ptCount val="1"/>
                <c:pt idx="0">
                  <c:v> Exploration Costs </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invertIfNegative val="0"/>
          <c:cat>
            <c:strRef>
              <c:f>Data!$X$44:$X$51</c:f>
              <c:strCache>
                <c:ptCount val="8"/>
                <c:pt idx="0">
                  <c:v>2009</c:v>
                </c:pt>
                <c:pt idx="1">
                  <c:v>2010</c:v>
                </c:pt>
                <c:pt idx="2">
                  <c:v>2011</c:v>
                </c:pt>
                <c:pt idx="3">
                  <c:v>2012</c:v>
                </c:pt>
                <c:pt idx="4">
                  <c:v>2013</c:v>
                </c:pt>
                <c:pt idx="5">
                  <c:v>2014</c:v>
                </c:pt>
                <c:pt idx="6">
                  <c:v>2015</c:v>
                </c:pt>
                <c:pt idx="7">
                  <c:v>2016</c:v>
                </c:pt>
              </c:strCache>
            </c:strRef>
          </c:cat>
          <c:val>
            <c:numRef>
              <c:f>Data!$AA$44:$AA$51</c:f>
              <c:numCache>
                <c:formatCode>General</c:formatCode>
                <c:ptCount val="8"/>
                <c:pt idx="0">
                  <c:v>4960.2069999999994</c:v>
                </c:pt>
                <c:pt idx="1">
                  <c:v>5213.7819999999992</c:v>
                </c:pt>
                <c:pt idx="2">
                  <c:v>4166.7070000000003</c:v>
                </c:pt>
                <c:pt idx="3">
                  <c:v>5441.1689999999999</c:v>
                </c:pt>
                <c:pt idx="4">
                  <c:v>5334.0709999999999</c:v>
                </c:pt>
                <c:pt idx="5">
                  <c:v>6315.0599999999995</c:v>
                </c:pt>
                <c:pt idx="6">
                  <c:v>9664.3659999999982</c:v>
                </c:pt>
                <c:pt idx="7">
                  <c:v>5106.0230000000001</c:v>
                </c:pt>
              </c:numCache>
            </c:numRef>
          </c:val>
        </c:ser>
        <c:ser>
          <c:idx val="3"/>
          <c:order val="3"/>
          <c:tx>
            <c:strRef>
              <c:f>Data!$AB$43</c:f>
              <c:strCache>
                <c:ptCount val="1"/>
                <c:pt idx="0">
                  <c:v> Non-Income Tax</c:v>
                </c:pt>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invertIfNegative val="0"/>
          <c:cat>
            <c:strRef>
              <c:f>Data!$X$44:$X$51</c:f>
              <c:strCache>
                <c:ptCount val="8"/>
                <c:pt idx="0">
                  <c:v>2009</c:v>
                </c:pt>
                <c:pt idx="1">
                  <c:v>2010</c:v>
                </c:pt>
                <c:pt idx="2">
                  <c:v>2011</c:v>
                </c:pt>
                <c:pt idx="3">
                  <c:v>2012</c:v>
                </c:pt>
                <c:pt idx="4">
                  <c:v>2013</c:v>
                </c:pt>
                <c:pt idx="5">
                  <c:v>2014</c:v>
                </c:pt>
                <c:pt idx="6">
                  <c:v>2015</c:v>
                </c:pt>
                <c:pt idx="7">
                  <c:v>2016</c:v>
                </c:pt>
              </c:strCache>
            </c:strRef>
          </c:cat>
          <c:val>
            <c:numRef>
              <c:f>Data!$AB$44:$AB$51</c:f>
              <c:numCache>
                <c:formatCode>General</c:formatCode>
                <c:ptCount val="8"/>
                <c:pt idx="0">
                  <c:v>6866.4630000000006</c:v>
                </c:pt>
                <c:pt idx="1">
                  <c:v>9685.3580000000002</c:v>
                </c:pt>
                <c:pt idx="2">
                  <c:v>10694.011600000002</c:v>
                </c:pt>
                <c:pt idx="3">
                  <c:v>9865.9269999999997</c:v>
                </c:pt>
                <c:pt idx="4">
                  <c:v>8268.58</c:v>
                </c:pt>
                <c:pt idx="5">
                  <c:v>8614.0139999999992</c:v>
                </c:pt>
                <c:pt idx="6">
                  <c:v>4476.7049999999999</c:v>
                </c:pt>
                <c:pt idx="7">
                  <c:v>3444.2139999999999</c:v>
                </c:pt>
              </c:numCache>
            </c:numRef>
          </c:val>
        </c:ser>
        <c:ser>
          <c:idx val="4"/>
          <c:order val="4"/>
          <c:tx>
            <c:strRef>
              <c:f>Data!$AC$43</c:f>
              <c:strCache>
                <c:ptCount val="1"/>
                <c:pt idx="0">
                  <c:v> G&amp;A and Marketing </c:v>
                </c:pt>
              </c:strCache>
            </c:strRef>
          </c:tx>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c:spPr>
          <c:invertIfNegative val="0"/>
          <c:cat>
            <c:strRef>
              <c:f>Data!$X$44:$X$51</c:f>
              <c:strCache>
                <c:ptCount val="8"/>
                <c:pt idx="0">
                  <c:v>2009</c:v>
                </c:pt>
                <c:pt idx="1">
                  <c:v>2010</c:v>
                </c:pt>
                <c:pt idx="2">
                  <c:v>2011</c:v>
                </c:pt>
                <c:pt idx="3">
                  <c:v>2012</c:v>
                </c:pt>
                <c:pt idx="4">
                  <c:v>2013</c:v>
                </c:pt>
                <c:pt idx="5">
                  <c:v>2014</c:v>
                </c:pt>
                <c:pt idx="6">
                  <c:v>2015</c:v>
                </c:pt>
                <c:pt idx="7">
                  <c:v>2016</c:v>
                </c:pt>
              </c:strCache>
            </c:strRef>
          </c:cat>
          <c:val>
            <c:numRef>
              <c:f>Data!$AC$44:$AC$51</c:f>
              <c:numCache>
                <c:formatCode>General</c:formatCode>
                <c:ptCount val="8"/>
                <c:pt idx="0">
                  <c:v>9453.0800000000017</c:v>
                </c:pt>
                <c:pt idx="1">
                  <c:v>9279.6939999999995</c:v>
                </c:pt>
                <c:pt idx="2">
                  <c:v>20438.173999999999</c:v>
                </c:pt>
                <c:pt idx="3">
                  <c:v>21402.622000000003</c:v>
                </c:pt>
                <c:pt idx="4">
                  <c:v>24787.909</c:v>
                </c:pt>
                <c:pt idx="5">
                  <c:v>34596.881999999998</c:v>
                </c:pt>
                <c:pt idx="6">
                  <c:v>25629.427</c:v>
                </c:pt>
                <c:pt idx="7">
                  <c:v>21138.37</c:v>
                </c:pt>
              </c:numCache>
            </c:numRef>
          </c:val>
        </c:ser>
        <c:ser>
          <c:idx val="5"/>
          <c:order val="5"/>
          <c:tx>
            <c:strRef>
              <c:f>Data!$AD$43</c:f>
              <c:strCache>
                <c:ptCount val="1"/>
                <c:pt idx="0">
                  <c:v> Upstream DD&amp;A </c:v>
                </c:pt>
              </c:strCache>
            </c:strRef>
          </c:tx>
          <c:spPr>
            <a:solidFill>
              <a:schemeClr val="accent5">
                <a:lumMod val="20000"/>
                <a:lumOff val="80000"/>
              </a:schemeClr>
            </a:solidFill>
            <a:ln>
              <a:noFill/>
            </a:ln>
            <a:effectLst/>
          </c:spPr>
          <c:invertIfNegative val="0"/>
          <c:cat>
            <c:strRef>
              <c:f>Data!$X$44:$X$51</c:f>
              <c:strCache>
                <c:ptCount val="8"/>
                <c:pt idx="0">
                  <c:v>2009</c:v>
                </c:pt>
                <c:pt idx="1">
                  <c:v>2010</c:v>
                </c:pt>
                <c:pt idx="2">
                  <c:v>2011</c:v>
                </c:pt>
                <c:pt idx="3">
                  <c:v>2012</c:v>
                </c:pt>
                <c:pt idx="4">
                  <c:v>2013</c:v>
                </c:pt>
                <c:pt idx="5">
                  <c:v>2014</c:v>
                </c:pt>
                <c:pt idx="6">
                  <c:v>2015</c:v>
                </c:pt>
                <c:pt idx="7">
                  <c:v>2016</c:v>
                </c:pt>
              </c:strCache>
            </c:strRef>
          </c:cat>
          <c:val>
            <c:numRef>
              <c:f>Data!$AD$44:$AD$51</c:f>
              <c:numCache>
                <c:formatCode>General</c:formatCode>
                <c:ptCount val="8"/>
                <c:pt idx="0">
                  <c:v>30947.275000000005</c:v>
                </c:pt>
                <c:pt idx="1">
                  <c:v>31892.881000000001</c:v>
                </c:pt>
                <c:pt idx="2">
                  <c:v>33581.010999999999</c:v>
                </c:pt>
                <c:pt idx="3">
                  <c:v>37449.482000000004</c:v>
                </c:pt>
                <c:pt idx="4">
                  <c:v>39276.862999999998</c:v>
                </c:pt>
                <c:pt idx="5">
                  <c:v>43561.602999999996</c:v>
                </c:pt>
                <c:pt idx="6">
                  <c:v>44014.398000000001</c:v>
                </c:pt>
                <c:pt idx="7">
                  <c:v>36766.207000000002</c:v>
                </c:pt>
              </c:numCache>
            </c:numRef>
          </c:val>
        </c:ser>
        <c:ser>
          <c:idx val="6"/>
          <c:order val="6"/>
          <c:tx>
            <c:strRef>
              <c:f>Data!$AE$43</c:f>
              <c:strCache>
                <c:ptCount val="1"/>
                <c:pt idx="0">
                  <c:v> Interest Expense </c:v>
                </c:pt>
              </c:strCache>
            </c:strRef>
          </c:tx>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c:spPr>
          <c:invertIfNegative val="0"/>
          <c:cat>
            <c:strRef>
              <c:f>Data!$X$44:$X$51</c:f>
              <c:strCache>
                <c:ptCount val="8"/>
                <c:pt idx="0">
                  <c:v>2009</c:v>
                </c:pt>
                <c:pt idx="1">
                  <c:v>2010</c:v>
                </c:pt>
                <c:pt idx="2">
                  <c:v>2011</c:v>
                </c:pt>
                <c:pt idx="3">
                  <c:v>2012</c:v>
                </c:pt>
                <c:pt idx="4">
                  <c:v>2013</c:v>
                </c:pt>
                <c:pt idx="5">
                  <c:v>2014</c:v>
                </c:pt>
                <c:pt idx="6">
                  <c:v>2015</c:v>
                </c:pt>
                <c:pt idx="7">
                  <c:v>2016</c:v>
                </c:pt>
              </c:strCache>
            </c:strRef>
          </c:cat>
          <c:val>
            <c:numRef>
              <c:f>Data!$AE$44:$AE$51</c:f>
              <c:numCache>
                <c:formatCode>General</c:formatCode>
                <c:ptCount val="8"/>
                <c:pt idx="0">
                  <c:v>5971.6097099999997</c:v>
                </c:pt>
                <c:pt idx="1">
                  <c:v>6169.1056121874999</c:v>
                </c:pt>
                <c:pt idx="2">
                  <c:v>6239.3132662500002</c:v>
                </c:pt>
                <c:pt idx="3">
                  <c:v>6535.4799918999997</c:v>
                </c:pt>
                <c:pt idx="4">
                  <c:v>7139.1610767500006</c:v>
                </c:pt>
                <c:pt idx="5">
                  <c:v>6862.9111590833327</c:v>
                </c:pt>
                <c:pt idx="6">
                  <c:v>7038.7256223500008</c:v>
                </c:pt>
                <c:pt idx="7">
                  <c:v>7130.5466271208334</c:v>
                </c:pt>
              </c:numCache>
            </c:numRef>
          </c:val>
        </c:ser>
        <c:ser>
          <c:idx val="7"/>
          <c:order val="7"/>
          <c:tx>
            <c:strRef>
              <c:f>Data!$AF$43</c:f>
              <c:strCache>
                <c:ptCount val="1"/>
                <c:pt idx="0">
                  <c:v> Income Tax </c:v>
                </c:pt>
              </c:strCache>
            </c:strRef>
          </c:tx>
          <c:spPr>
            <a:gradFill rotWithShape="1">
              <a:gsLst>
                <a:gs pos="0">
                  <a:schemeClr val="accent3">
                    <a:lumMod val="80000"/>
                    <a:lumOff val="20000"/>
                    <a:satMod val="103000"/>
                    <a:lumMod val="102000"/>
                    <a:tint val="94000"/>
                  </a:schemeClr>
                </a:gs>
                <a:gs pos="50000">
                  <a:schemeClr val="accent3">
                    <a:lumMod val="80000"/>
                    <a:lumOff val="20000"/>
                    <a:satMod val="110000"/>
                    <a:lumMod val="100000"/>
                    <a:shade val="100000"/>
                  </a:schemeClr>
                </a:gs>
                <a:gs pos="100000">
                  <a:schemeClr val="accent3">
                    <a:lumMod val="80000"/>
                    <a:lumOff val="20000"/>
                    <a:lumMod val="99000"/>
                    <a:satMod val="120000"/>
                    <a:shade val="78000"/>
                  </a:schemeClr>
                </a:gs>
              </a:gsLst>
              <a:lin ang="5400000" scaled="0"/>
            </a:gradFill>
            <a:ln>
              <a:noFill/>
            </a:ln>
            <a:effectLst/>
          </c:spPr>
          <c:invertIfNegative val="0"/>
          <c:cat>
            <c:strRef>
              <c:f>Data!$X$44:$X$51</c:f>
              <c:strCache>
                <c:ptCount val="8"/>
                <c:pt idx="0">
                  <c:v>2009</c:v>
                </c:pt>
                <c:pt idx="1">
                  <c:v>2010</c:v>
                </c:pt>
                <c:pt idx="2">
                  <c:v>2011</c:v>
                </c:pt>
                <c:pt idx="3">
                  <c:v>2012</c:v>
                </c:pt>
                <c:pt idx="4">
                  <c:v>2013</c:v>
                </c:pt>
                <c:pt idx="5">
                  <c:v>2014</c:v>
                </c:pt>
                <c:pt idx="6">
                  <c:v>2015</c:v>
                </c:pt>
                <c:pt idx="7">
                  <c:v>2016</c:v>
                </c:pt>
              </c:strCache>
            </c:strRef>
          </c:cat>
          <c:val>
            <c:numRef>
              <c:f>Data!$AF$44:$AF$51</c:f>
              <c:numCache>
                <c:formatCode>General</c:formatCode>
                <c:ptCount val="8"/>
                <c:pt idx="0">
                  <c:v>6968.7060000000001</c:v>
                </c:pt>
                <c:pt idx="1">
                  <c:v>11665.72</c:v>
                </c:pt>
                <c:pt idx="2">
                  <c:v>18832.195</c:v>
                </c:pt>
                <c:pt idx="3">
                  <c:v>19914.472999999998</c:v>
                </c:pt>
                <c:pt idx="4">
                  <c:v>14164.215</c:v>
                </c:pt>
                <c:pt idx="5">
                  <c:v>13034.915000000001</c:v>
                </c:pt>
                <c:pt idx="6">
                  <c:v>2162.7379999999998</c:v>
                </c:pt>
                <c:pt idx="7">
                  <c:v>838.29499999999996</c:v>
                </c:pt>
              </c:numCache>
            </c:numRef>
          </c:val>
        </c:ser>
        <c:dLbls>
          <c:showLegendKey val="0"/>
          <c:showVal val="0"/>
          <c:showCatName val="0"/>
          <c:showSerName val="0"/>
          <c:showPercent val="0"/>
          <c:showBubbleSize val="0"/>
        </c:dLbls>
        <c:gapWidth val="124"/>
        <c:overlap val="100"/>
        <c:axId val="582684944"/>
        <c:axId val="582684384"/>
      </c:barChart>
      <c:lineChart>
        <c:grouping val="standard"/>
        <c:varyColors val="0"/>
        <c:ser>
          <c:idx val="0"/>
          <c:order val="0"/>
          <c:tx>
            <c:strRef>
              <c:f>Data!$Y$43</c:f>
              <c:strCache>
                <c:ptCount val="1"/>
                <c:pt idx="0">
                  <c:v> Revenue</c:v>
                </c:pt>
              </c:strCache>
            </c:strRef>
          </c:tx>
          <c:spPr>
            <a:ln w="31750" cap="rnd">
              <a:solidFill>
                <a:schemeClr val="accent6">
                  <a:lumMod val="60000"/>
                  <a:lumOff val="40000"/>
                </a:schemeClr>
              </a:solidFill>
              <a:round/>
            </a:ln>
            <a:effectLst/>
          </c:spPr>
          <c:marker>
            <c:symbol val="none"/>
          </c:marker>
          <c:dPt>
            <c:idx val="0"/>
            <c:marker>
              <c:symbol val="none"/>
            </c:marker>
            <c:bubble3D val="0"/>
            <c:spPr>
              <a:ln w="31750" cap="rnd">
                <a:solidFill>
                  <a:schemeClr val="accent6">
                    <a:lumMod val="60000"/>
                    <a:lumOff val="40000"/>
                  </a:schemeClr>
                </a:solidFill>
                <a:round/>
              </a:ln>
              <a:effectLst/>
            </c:spPr>
          </c:dPt>
          <c:dPt>
            <c:idx val="3"/>
            <c:marker>
              <c:symbol val="none"/>
            </c:marker>
            <c:bubble3D val="0"/>
            <c:spPr>
              <a:ln w="31750" cap="rnd">
                <a:solidFill>
                  <a:schemeClr val="accent6">
                    <a:lumMod val="60000"/>
                    <a:lumOff val="40000"/>
                  </a:schemeClr>
                </a:solidFill>
                <a:round/>
              </a:ln>
              <a:effectLst/>
            </c:spPr>
          </c:dPt>
          <c:dLbls>
            <c:numFmt formatCode="#,##0" sourceLinked="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Data!$X$44:$X$51</c:f>
              <c:strCache>
                <c:ptCount val="8"/>
                <c:pt idx="0">
                  <c:v>2009</c:v>
                </c:pt>
                <c:pt idx="1">
                  <c:v>2010</c:v>
                </c:pt>
                <c:pt idx="2">
                  <c:v>2011</c:v>
                </c:pt>
                <c:pt idx="3">
                  <c:v>2012</c:v>
                </c:pt>
                <c:pt idx="4">
                  <c:v>2013</c:v>
                </c:pt>
                <c:pt idx="5">
                  <c:v>2014</c:v>
                </c:pt>
                <c:pt idx="6">
                  <c:v>2015</c:v>
                </c:pt>
                <c:pt idx="7">
                  <c:v>2016</c:v>
                </c:pt>
              </c:strCache>
            </c:strRef>
          </c:cat>
          <c:val>
            <c:numRef>
              <c:f>Data!$Y$44:$Y$51</c:f>
              <c:numCache>
                <c:formatCode>General</c:formatCode>
                <c:ptCount val="8"/>
                <c:pt idx="0">
                  <c:v>130106.35500000001</c:v>
                </c:pt>
                <c:pt idx="1">
                  <c:v>154394.88499999998</c:v>
                </c:pt>
                <c:pt idx="2">
                  <c:v>183166.201</c:v>
                </c:pt>
                <c:pt idx="3">
                  <c:v>177226.14900000003</c:v>
                </c:pt>
                <c:pt idx="4">
                  <c:v>188702.571</c:v>
                </c:pt>
                <c:pt idx="5">
                  <c:v>199501.74</c:v>
                </c:pt>
                <c:pt idx="6">
                  <c:v>116616.947</c:v>
                </c:pt>
                <c:pt idx="7">
                  <c:v>92190.03300000001</c:v>
                </c:pt>
              </c:numCache>
            </c:numRef>
          </c:val>
          <c:smooth val="0"/>
        </c:ser>
        <c:dLbls>
          <c:showLegendKey val="0"/>
          <c:showVal val="0"/>
          <c:showCatName val="0"/>
          <c:showSerName val="0"/>
          <c:showPercent val="0"/>
          <c:showBubbleSize val="0"/>
        </c:dLbls>
        <c:marker val="1"/>
        <c:smooth val="0"/>
        <c:axId val="582684944"/>
        <c:axId val="582684384"/>
      </c:lineChart>
      <c:valAx>
        <c:axId val="582684384"/>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crossAx val="582684944"/>
        <c:crosses val="autoZero"/>
        <c:crossBetween val="between"/>
        <c:dispUnits>
          <c:builtInUnit val="thousands"/>
        </c:dispUnits>
      </c:valAx>
      <c:catAx>
        <c:axId val="582684944"/>
        <c:scaling>
          <c:orientation val="minMax"/>
        </c:scaling>
        <c:delete val="1"/>
        <c:axPos val="b"/>
        <c:numFmt formatCode="General" sourceLinked="1"/>
        <c:majorTickMark val="out"/>
        <c:minorTickMark val="none"/>
        <c:tickLblPos val="nextTo"/>
        <c:crossAx val="582684384"/>
        <c:crosses val="autoZero"/>
        <c:auto val="1"/>
        <c:lblAlgn val="ctr"/>
        <c:lblOffset val="100"/>
        <c:noMultiLvlLbl val="0"/>
      </c:cat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sz="1400"/>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[CEE Upstream Waterfalls.xlsx]Data!PivotTable3</c:name>
    <c:fmtId val="20"/>
  </c:pivotSource>
  <c:chart>
    <c:title>
      <c:tx>
        <c:rich>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mn-cs"/>
              </a:defRPr>
            </a:pPr>
            <a:r>
              <a:rPr lang="en-US"/>
              <a:t>Solvency: EBIT &amp; Interest</a:t>
            </a:r>
          </a:p>
        </c:rich>
      </c:tx>
      <c:layout/>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w="28575" cap="rnd">
            <a:solidFill>
              <a:schemeClr val="accent1"/>
            </a:solidFill>
            <a:round/>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w="28575" cap="rnd">
            <a:solidFill>
              <a:schemeClr val="accent1"/>
            </a:solidFill>
            <a:round/>
          </a:ln>
          <a:effectLst/>
        </c:spPr>
        <c:marker>
          <c:symbol val="none"/>
        </c:marker>
      </c:pivotFmt>
      <c:pivotFmt>
        <c:idx val="6"/>
        <c:spPr>
          <a:solidFill>
            <a:schemeClr val="accent2">
              <a:lumMod val="75000"/>
            </a:schemeClr>
          </a:solidFill>
          <a:ln>
            <a:noFill/>
          </a:ln>
          <a:effectLst/>
        </c:spPr>
        <c:marker>
          <c:symbol val="none"/>
        </c:marker>
      </c:pivotFmt>
      <c:pivotFmt>
        <c:idx val="7"/>
        <c:spPr>
          <a:solidFill>
            <a:schemeClr val="accent1"/>
          </a:solidFill>
          <a:ln w="28575" cap="rnd">
            <a:solidFill>
              <a:schemeClr val="tx1"/>
            </a:solidFill>
            <a:round/>
          </a:ln>
          <a:effectLst/>
        </c:spPr>
        <c:marker>
          <c:symbol val="circle"/>
          <c:size val="5"/>
          <c:spPr>
            <a:solidFill>
              <a:schemeClr val="accent1">
                <a:lumMod val="75000"/>
              </a:schemeClr>
            </a:solidFill>
            <a:ln w="19050">
              <a:solidFill>
                <a:schemeClr val="tx1"/>
              </a:solidFill>
            </a:ln>
            <a:effectLst/>
          </c:spPr>
        </c:marker>
        <c:dLbl>
          <c:idx val="0"/>
          <c:numFmt formatCode="#,##0"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ln w="28575" cap="rnd">
            <a:solidFill>
              <a:schemeClr val="accent6">
                <a:lumMod val="60000"/>
                <a:lumOff val="40000"/>
              </a:schemeClr>
            </a:solidFill>
            <a:round/>
          </a:ln>
          <a:effectLst/>
        </c:spPr>
        <c:marker>
          <c:symbol val="none"/>
        </c:marker>
      </c:pivotFmt>
    </c:pivotFmts>
    <c:plotArea>
      <c:layout>
        <c:manualLayout>
          <c:layoutTarget val="inner"/>
          <c:xMode val="edge"/>
          <c:yMode val="edge"/>
          <c:x val="0.12792926493394102"/>
          <c:y val="0.16372087011850792"/>
          <c:w val="0.79245983241264517"/>
          <c:h val="0.70955751743153306"/>
        </c:manualLayout>
      </c:layout>
      <c:barChart>
        <c:barDir val="col"/>
        <c:grouping val="clustered"/>
        <c:varyColors val="0"/>
        <c:ser>
          <c:idx val="0"/>
          <c:order val="0"/>
          <c:tx>
            <c:strRef>
              <c:f>Data!$Y$73</c:f>
              <c:strCache>
                <c:ptCount val="1"/>
                <c:pt idx="0">
                  <c:v>Interest Expense </c:v>
                </c:pt>
              </c:strCache>
            </c:strRef>
          </c:tx>
          <c:spPr>
            <a:solidFill>
              <a:schemeClr val="accent2">
                <a:lumMod val="75000"/>
              </a:schemeClr>
            </a:solidFill>
            <a:ln>
              <a:noFill/>
            </a:ln>
            <a:effectLst/>
          </c:spPr>
          <c:invertIfNegative val="0"/>
          <c:cat>
            <c:strRef>
              <c:f>Data!$X$74:$X$82</c:f>
              <c:strCache>
                <c:ptCount val="8"/>
                <c:pt idx="0">
                  <c:v>2009</c:v>
                </c:pt>
                <c:pt idx="1">
                  <c:v>2010</c:v>
                </c:pt>
                <c:pt idx="2">
                  <c:v>2011</c:v>
                </c:pt>
                <c:pt idx="3">
                  <c:v>2012</c:v>
                </c:pt>
                <c:pt idx="4">
                  <c:v>2013</c:v>
                </c:pt>
                <c:pt idx="5">
                  <c:v>2014</c:v>
                </c:pt>
                <c:pt idx="6">
                  <c:v>2015</c:v>
                </c:pt>
                <c:pt idx="7">
                  <c:v>2016</c:v>
                </c:pt>
              </c:strCache>
            </c:strRef>
          </c:cat>
          <c:val>
            <c:numRef>
              <c:f>Data!$Y$74:$Y$82</c:f>
              <c:numCache>
                <c:formatCode>General</c:formatCode>
                <c:ptCount val="8"/>
                <c:pt idx="0">
                  <c:v>5971.6097099999997</c:v>
                </c:pt>
                <c:pt idx="1">
                  <c:v>6169.1056121874999</c:v>
                </c:pt>
                <c:pt idx="2">
                  <c:v>6239.3132662500002</c:v>
                </c:pt>
                <c:pt idx="3">
                  <c:v>6535.4799918999997</c:v>
                </c:pt>
                <c:pt idx="4">
                  <c:v>7139.1610767500006</c:v>
                </c:pt>
                <c:pt idx="5">
                  <c:v>6862.9111590833327</c:v>
                </c:pt>
                <c:pt idx="6">
                  <c:v>7038.7256223500008</c:v>
                </c:pt>
                <c:pt idx="7">
                  <c:v>7130.5466271208334</c:v>
                </c:pt>
              </c:numCache>
            </c:numRef>
          </c:val>
        </c:ser>
        <c:dLbls>
          <c:showLegendKey val="0"/>
          <c:showVal val="0"/>
          <c:showCatName val="0"/>
          <c:showSerName val="0"/>
          <c:showPercent val="0"/>
          <c:showBubbleSize val="0"/>
        </c:dLbls>
        <c:gapWidth val="219"/>
        <c:axId val="582687744"/>
        <c:axId val="582688304"/>
      </c:barChart>
      <c:lineChart>
        <c:grouping val="standard"/>
        <c:varyColors val="0"/>
        <c:ser>
          <c:idx val="1"/>
          <c:order val="1"/>
          <c:tx>
            <c:strRef>
              <c:f>Data!$Z$73</c:f>
              <c:strCache>
                <c:ptCount val="1"/>
                <c:pt idx="0">
                  <c:v> Clean EBIT</c:v>
                </c:pt>
              </c:strCache>
            </c:strRef>
          </c:tx>
          <c:spPr>
            <a:ln w="28575" cap="rnd">
              <a:solidFill>
                <a:schemeClr val="accent6">
                  <a:lumMod val="60000"/>
                  <a:lumOff val="40000"/>
                </a:schemeClr>
              </a:solidFill>
              <a:round/>
            </a:ln>
            <a:effectLst/>
          </c:spPr>
          <c:marker>
            <c:symbol val="none"/>
          </c:marker>
          <c:cat>
            <c:strRef>
              <c:f>Data!$X$74:$X$82</c:f>
              <c:strCache>
                <c:ptCount val="8"/>
                <c:pt idx="0">
                  <c:v>2009</c:v>
                </c:pt>
                <c:pt idx="1">
                  <c:v>2010</c:v>
                </c:pt>
                <c:pt idx="2">
                  <c:v>2011</c:v>
                </c:pt>
                <c:pt idx="3">
                  <c:v>2012</c:v>
                </c:pt>
                <c:pt idx="4">
                  <c:v>2013</c:v>
                </c:pt>
                <c:pt idx="5">
                  <c:v>2014</c:v>
                </c:pt>
                <c:pt idx="6">
                  <c:v>2015</c:v>
                </c:pt>
                <c:pt idx="7">
                  <c:v>2016</c:v>
                </c:pt>
              </c:strCache>
            </c:strRef>
          </c:cat>
          <c:val>
            <c:numRef>
              <c:f>Data!$Z$74:$Z$82</c:f>
              <c:numCache>
                <c:formatCode>General</c:formatCode>
                <c:ptCount val="8"/>
                <c:pt idx="0">
                  <c:v>52622.704999999994</c:v>
                </c:pt>
                <c:pt idx="1">
                  <c:v>73616.716</c:v>
                </c:pt>
                <c:pt idx="2">
                  <c:v>84674.882400000002</c:v>
                </c:pt>
                <c:pt idx="3">
                  <c:v>71265.579999999987</c:v>
                </c:pt>
                <c:pt idx="4">
                  <c:v>75247.543000000005</c:v>
                </c:pt>
                <c:pt idx="5">
                  <c:v>69172.755999999994</c:v>
                </c:pt>
                <c:pt idx="6">
                  <c:v>-411.849999999999</c:v>
                </c:pt>
                <c:pt idx="7">
                  <c:v>-1041.9329999999991</c:v>
                </c:pt>
              </c:numCache>
            </c:numRef>
          </c:val>
          <c:smooth val="0"/>
        </c:ser>
        <c:dLbls>
          <c:showLegendKey val="0"/>
          <c:showVal val="0"/>
          <c:showCatName val="0"/>
          <c:showSerName val="0"/>
          <c:showPercent val="0"/>
          <c:showBubbleSize val="0"/>
        </c:dLbls>
        <c:marker val="1"/>
        <c:smooth val="0"/>
        <c:axId val="582687744"/>
        <c:axId val="582688304"/>
      </c:lineChart>
      <c:catAx>
        <c:axId val="58268774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222000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82688304"/>
        <c:crosses val="autoZero"/>
        <c:auto val="1"/>
        <c:lblAlgn val="ctr"/>
        <c:lblOffset val="100"/>
        <c:noMultiLvlLbl val="0"/>
      </c:catAx>
      <c:valAx>
        <c:axId val="582688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82687744"/>
        <c:crosses val="autoZero"/>
        <c:crossBetween val="between"/>
      </c:valAx>
      <c:spPr>
        <a:noFill/>
        <a:ln>
          <a:noFill/>
        </a:ln>
        <a:effectLst/>
      </c:spPr>
    </c:plotArea>
    <c:legend>
      <c:legendPos val="r"/>
      <c:layout>
        <c:manualLayout>
          <c:xMode val="edge"/>
          <c:yMode val="edge"/>
          <c:x val="0.16794386486887694"/>
          <c:y val="0.52455194994565069"/>
          <c:w val="0.32062412550416758"/>
          <c:h val="0.12558060924202658"/>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pivotSource>
    <c:name>[CEE Upstream Waterfalls.xlsx]Data!PivotTable4</c:name>
    <c:fmtId val="13"/>
  </c:pivotSource>
  <c:chart>
    <c:title>
      <c:tx>
        <c:rich>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mn-cs"/>
              </a:defRPr>
            </a:pPr>
            <a:r>
              <a:rPr lang="en-US"/>
              <a:t>Earnings Quality</a:t>
            </a:r>
          </a:p>
        </c:rich>
      </c:tx>
      <c:layout/>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w="25400">
            <a:noFill/>
          </a:ln>
          <a:effectLst/>
        </c:spPr>
        <c:marker>
          <c:symbol val="none"/>
        </c:marker>
      </c:pivotFmt>
      <c:pivotFmt>
        <c:idx val="10"/>
        <c:spPr>
          <a:solidFill>
            <a:schemeClr val="accent1"/>
          </a:solidFill>
          <a:ln w="28575" cap="rnd">
            <a:solidFill>
              <a:schemeClr val="accent4"/>
            </a:solidFill>
            <a:round/>
          </a:ln>
          <a:effectLst/>
        </c:spPr>
        <c:marker>
          <c:symbol val="none"/>
        </c:marker>
      </c:pivotFmt>
      <c:pivotFmt>
        <c:idx val="11"/>
        <c:spPr>
          <a:solidFill>
            <a:schemeClr val="accent1"/>
          </a:solidFill>
          <a:ln>
            <a:solidFill>
              <a:srgbClr val="C00000"/>
            </a:solidFill>
          </a:ln>
          <a:effectLst/>
        </c:spPr>
        <c:marker>
          <c:symbol val="none"/>
        </c:marker>
      </c:pivotFmt>
      <c:pivotFmt>
        <c:idx val="12"/>
        <c:spPr>
          <a:solidFill>
            <a:schemeClr val="accent1"/>
          </a:solidFill>
          <a:ln w="28575" cap="rnd">
            <a:solidFill>
              <a:schemeClr val="accent1"/>
            </a:solidFill>
            <a:round/>
          </a:ln>
          <a:effectLst/>
        </c:spPr>
        <c:marker>
          <c:symbol val="circle"/>
          <c:size val="5"/>
          <c:spPr>
            <a:solidFill>
              <a:srgbClr val="0070C0"/>
            </a:solidFill>
            <a:ln w="9525">
              <a:noFill/>
            </a:ln>
            <a:effectLst/>
          </c:spPr>
        </c:marker>
      </c:pivotFmt>
      <c:pivotFmt>
        <c:idx val="13"/>
        <c:spPr>
          <a:solidFill>
            <a:schemeClr val="accent1"/>
          </a:solidFill>
          <a:ln>
            <a:noFill/>
          </a:ln>
          <a:effectLst/>
        </c:spPr>
        <c:marker>
          <c:symbol val="none"/>
        </c:marker>
      </c:pivotFmt>
      <c:pivotFmt>
        <c:idx val="14"/>
        <c:spPr>
          <a:solidFill>
            <a:schemeClr val="accent1"/>
          </a:solidFill>
          <a:ln w="28575" cap="rnd">
            <a:solidFill>
              <a:schemeClr val="accent1"/>
            </a:solidFill>
            <a:round/>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w="28575" cap="rnd">
            <a:solidFill>
              <a:schemeClr val="accent1"/>
            </a:solidFill>
            <a:round/>
          </a:ln>
          <a:effectLst/>
        </c:spPr>
        <c:marker>
          <c:symbol val="none"/>
        </c:marker>
      </c:pivotFmt>
      <c:pivotFmt>
        <c:idx val="25"/>
        <c:spPr>
          <a:solidFill>
            <a:schemeClr val="accent1"/>
          </a:solidFill>
          <a:ln w="28575" cap="rnd">
            <a:solidFill>
              <a:schemeClr val="accent1"/>
            </a:solidFill>
            <a:round/>
          </a:ln>
          <a:effectLst/>
        </c:spPr>
        <c:marker>
          <c:symbol val="none"/>
        </c:marker>
      </c:pivotFmt>
      <c:pivotFmt>
        <c:idx val="26"/>
        <c:spPr>
          <a:solidFill>
            <a:schemeClr val="accent1"/>
          </a:solidFill>
          <a:ln>
            <a:noFill/>
          </a:ln>
          <a:effectLst/>
        </c:spPr>
        <c:marker>
          <c:symbol val="none"/>
        </c:marker>
      </c:pivotFmt>
      <c:pivotFmt>
        <c:idx val="27"/>
        <c:spPr>
          <a:solidFill>
            <a:srgbClr val="C00000">
              <a:alpha val="29000"/>
            </a:srgbClr>
          </a:solidFill>
          <a:ln>
            <a:solidFill>
              <a:srgbClr val="C00000"/>
            </a:solidFill>
          </a:ln>
          <a:effectLst/>
        </c:spPr>
        <c:marker>
          <c:symbol val="none"/>
        </c:marker>
      </c:pivotFmt>
    </c:pivotFmts>
    <c:plotArea>
      <c:layout>
        <c:manualLayout>
          <c:layoutTarget val="inner"/>
          <c:xMode val="edge"/>
          <c:yMode val="edge"/>
          <c:x val="0.14005060626446966"/>
          <c:y val="0.18118686868686867"/>
          <c:w val="0.73263444731863403"/>
          <c:h val="0.54994565073305235"/>
        </c:manualLayout>
      </c:layout>
      <c:areaChart>
        <c:grouping val="standard"/>
        <c:varyColors val="0"/>
        <c:ser>
          <c:idx val="2"/>
          <c:order val="2"/>
          <c:tx>
            <c:strRef>
              <c:f>Data!$AA$89</c:f>
              <c:strCache>
                <c:ptCount val="1"/>
                <c:pt idx="0">
                  <c:v>Total Upstream Cash Costs </c:v>
                </c:pt>
              </c:strCache>
            </c:strRef>
          </c:tx>
          <c:spPr>
            <a:solidFill>
              <a:srgbClr val="C00000">
                <a:alpha val="29000"/>
              </a:srgbClr>
            </a:solidFill>
            <a:ln>
              <a:solidFill>
                <a:srgbClr val="C00000"/>
              </a:solidFill>
            </a:ln>
            <a:effectLst/>
          </c:spPr>
          <c:cat>
            <c:strRef>
              <c:f>Data!$X$90:$X$97</c:f>
              <c:strCache>
                <c:ptCount val="8"/>
                <c:pt idx="0">
                  <c:v>2009</c:v>
                </c:pt>
                <c:pt idx="1">
                  <c:v>2010</c:v>
                </c:pt>
                <c:pt idx="2">
                  <c:v>2011</c:v>
                </c:pt>
                <c:pt idx="3">
                  <c:v>2012</c:v>
                </c:pt>
                <c:pt idx="4">
                  <c:v>2013</c:v>
                </c:pt>
                <c:pt idx="5">
                  <c:v>2014</c:v>
                </c:pt>
                <c:pt idx="6">
                  <c:v>2015</c:v>
                </c:pt>
                <c:pt idx="7">
                  <c:v>2016</c:v>
                </c:pt>
              </c:strCache>
            </c:strRef>
          </c:cat>
          <c:val>
            <c:numRef>
              <c:f>Data!$AA$90:$AA$97</c:f>
              <c:numCache>
                <c:formatCode>#,##0</c:formatCode>
                <c:ptCount val="8"/>
                <c:pt idx="0">
                  <c:v>59476.690709999995</c:v>
                </c:pt>
                <c:pt idx="1">
                  <c:v>66720.113612187502</c:v>
                </c:pt>
                <c:pt idx="2">
                  <c:v>89981.815866249992</c:v>
                </c:pt>
                <c:pt idx="3">
                  <c:v>94961.039991900005</c:v>
                </c:pt>
                <c:pt idx="4">
                  <c:v>95481.54107675</c:v>
                </c:pt>
                <c:pt idx="5">
                  <c:v>106665.20715908334</c:v>
                </c:pt>
                <c:pt idx="6">
                  <c:v>82215.862622349989</c:v>
                </c:pt>
                <c:pt idx="7">
                  <c:v>65335.600627120839</c:v>
                </c:pt>
              </c:numCache>
            </c:numRef>
          </c:val>
        </c:ser>
        <c:dLbls>
          <c:showLegendKey val="0"/>
          <c:showVal val="0"/>
          <c:showCatName val="0"/>
          <c:showSerName val="0"/>
          <c:showPercent val="0"/>
          <c:showBubbleSize val="0"/>
        </c:dLbls>
        <c:axId val="582691664"/>
        <c:axId val="582692224"/>
      </c:areaChart>
      <c:barChart>
        <c:barDir val="col"/>
        <c:grouping val="clustered"/>
        <c:varyColors val="0"/>
        <c:ser>
          <c:idx val="0"/>
          <c:order val="0"/>
          <c:tx>
            <c:strRef>
              <c:f>Data!$Y$89</c:f>
              <c:strCache>
                <c:ptCount val="1"/>
                <c:pt idx="0">
                  <c:v> EBITDA</c:v>
                </c:pt>
              </c:strCache>
            </c:strRef>
          </c:tx>
          <c:spPr>
            <a:solidFill>
              <a:schemeClr val="accent1">
                <a:tint val="65000"/>
              </a:schemeClr>
            </a:solidFill>
            <a:ln>
              <a:noFill/>
            </a:ln>
            <a:effectLst/>
          </c:spPr>
          <c:invertIfNegative val="0"/>
          <c:cat>
            <c:strRef>
              <c:f>Data!$X$90:$X$97</c:f>
              <c:strCache>
                <c:ptCount val="8"/>
                <c:pt idx="0">
                  <c:v>2009</c:v>
                </c:pt>
                <c:pt idx="1">
                  <c:v>2010</c:v>
                </c:pt>
                <c:pt idx="2">
                  <c:v>2011</c:v>
                </c:pt>
                <c:pt idx="3">
                  <c:v>2012</c:v>
                </c:pt>
                <c:pt idx="4">
                  <c:v>2013</c:v>
                </c:pt>
                <c:pt idx="5">
                  <c:v>2014</c:v>
                </c:pt>
                <c:pt idx="6">
                  <c:v>2015</c:v>
                </c:pt>
                <c:pt idx="7">
                  <c:v>2016</c:v>
                </c:pt>
              </c:strCache>
            </c:strRef>
          </c:cat>
          <c:val>
            <c:numRef>
              <c:f>Data!$Y$90:$Y$97</c:f>
              <c:numCache>
                <c:formatCode>#,##0</c:formatCode>
                <c:ptCount val="8"/>
                <c:pt idx="0">
                  <c:v>83569.98</c:v>
                </c:pt>
                <c:pt idx="1">
                  <c:v>105509.59699999999</c:v>
                </c:pt>
                <c:pt idx="2">
                  <c:v>118255.89339999999</c:v>
                </c:pt>
                <c:pt idx="3">
                  <c:v>108715.06200000001</c:v>
                </c:pt>
                <c:pt idx="4">
                  <c:v>114524.406</c:v>
                </c:pt>
                <c:pt idx="5">
                  <c:v>112734.35900000001</c:v>
                </c:pt>
                <c:pt idx="6">
                  <c:v>43602.547999999995</c:v>
                </c:pt>
                <c:pt idx="7">
                  <c:v>35724.273999999998</c:v>
                </c:pt>
              </c:numCache>
            </c:numRef>
          </c:val>
        </c:ser>
        <c:ser>
          <c:idx val="1"/>
          <c:order val="1"/>
          <c:tx>
            <c:strRef>
              <c:f>Data!$Z$89</c:f>
              <c:strCache>
                <c:ptCount val="1"/>
                <c:pt idx="0">
                  <c:v>EBIT</c:v>
                </c:pt>
              </c:strCache>
            </c:strRef>
          </c:tx>
          <c:spPr>
            <a:solidFill>
              <a:schemeClr val="accent1"/>
            </a:solidFill>
            <a:ln>
              <a:noFill/>
            </a:ln>
            <a:effectLst/>
          </c:spPr>
          <c:invertIfNegative val="0"/>
          <c:cat>
            <c:strRef>
              <c:f>Data!$X$90:$X$97</c:f>
              <c:strCache>
                <c:ptCount val="8"/>
                <c:pt idx="0">
                  <c:v>2009</c:v>
                </c:pt>
                <c:pt idx="1">
                  <c:v>2010</c:v>
                </c:pt>
                <c:pt idx="2">
                  <c:v>2011</c:v>
                </c:pt>
                <c:pt idx="3">
                  <c:v>2012</c:v>
                </c:pt>
                <c:pt idx="4">
                  <c:v>2013</c:v>
                </c:pt>
                <c:pt idx="5">
                  <c:v>2014</c:v>
                </c:pt>
                <c:pt idx="6">
                  <c:v>2015</c:v>
                </c:pt>
                <c:pt idx="7">
                  <c:v>2016</c:v>
                </c:pt>
              </c:strCache>
            </c:strRef>
          </c:cat>
          <c:val>
            <c:numRef>
              <c:f>Data!$Z$90:$Z$97</c:f>
              <c:numCache>
                <c:formatCode>#,##0</c:formatCode>
                <c:ptCount val="8"/>
                <c:pt idx="0">
                  <c:v>52622.704999999994</c:v>
                </c:pt>
                <c:pt idx="1">
                  <c:v>73616.716</c:v>
                </c:pt>
                <c:pt idx="2">
                  <c:v>84674.882400000002</c:v>
                </c:pt>
                <c:pt idx="3">
                  <c:v>71265.579999999987</c:v>
                </c:pt>
                <c:pt idx="4">
                  <c:v>75247.543000000005</c:v>
                </c:pt>
                <c:pt idx="5">
                  <c:v>69172.755999999994</c:v>
                </c:pt>
                <c:pt idx="6">
                  <c:v>-411.849999999999</c:v>
                </c:pt>
                <c:pt idx="7">
                  <c:v>-1041.9329999999991</c:v>
                </c:pt>
              </c:numCache>
            </c:numRef>
          </c:val>
        </c:ser>
        <c:dLbls>
          <c:showLegendKey val="0"/>
          <c:showVal val="0"/>
          <c:showCatName val="0"/>
          <c:showSerName val="0"/>
          <c:showPercent val="0"/>
          <c:showBubbleSize val="0"/>
        </c:dLbls>
        <c:gapWidth val="219"/>
        <c:axId val="582691664"/>
        <c:axId val="582692224"/>
      </c:barChart>
      <c:catAx>
        <c:axId val="582691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82692224"/>
        <c:crosses val="autoZero"/>
        <c:auto val="1"/>
        <c:lblAlgn val="ctr"/>
        <c:lblOffset val="100"/>
        <c:noMultiLvlLbl val="0"/>
      </c:catAx>
      <c:valAx>
        <c:axId val="5826922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a:t>$ Billions</a:t>
                </a:r>
              </a:p>
            </c:rich>
          </c:tx>
          <c:layout>
            <c:manualLayout>
              <c:xMode val="edge"/>
              <c:yMode val="edge"/>
              <c:x val="2.2675696675099732E-3"/>
              <c:y val="0.34609878310665709"/>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82691664"/>
        <c:crosses val="autoZero"/>
        <c:crossBetween val="between"/>
        <c:dispUnits>
          <c:builtInUnit val="thousands"/>
        </c:dispUnits>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[CEE Upstream Waterfalls.xlsx]Data!PivotTable6</c:name>
    <c:fmtId val="8"/>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s>
    <c:plotArea>
      <c:layout>
        <c:manualLayout>
          <c:layoutTarget val="inner"/>
          <c:xMode val="edge"/>
          <c:yMode val="edge"/>
          <c:x val="0.13636410295283485"/>
          <c:y val="9.7222222222222224E-2"/>
          <c:w val="0.86062352539867548"/>
          <c:h val="0.76297091651422355"/>
        </c:manualLayout>
      </c:layout>
      <c:barChart>
        <c:barDir val="col"/>
        <c:grouping val="clustered"/>
        <c:varyColors val="0"/>
        <c:ser>
          <c:idx val="0"/>
          <c:order val="0"/>
          <c:tx>
            <c:strRef>
              <c:f>Data!$Y$104</c:f>
              <c:strCache>
                <c:ptCount val="1"/>
                <c:pt idx="0">
                  <c:v> CF from Operations</c:v>
                </c:pt>
              </c:strCache>
            </c:strRef>
          </c:tx>
          <c:spPr>
            <a:solidFill>
              <a:schemeClr val="accent1"/>
            </a:solidFill>
            <a:ln>
              <a:noFill/>
            </a:ln>
            <a:effectLst/>
          </c:spPr>
          <c:invertIfNegative val="0"/>
          <c:cat>
            <c:strRef>
              <c:f>Data!$X$105:$X$113</c:f>
              <c:strCache>
                <c:ptCount val="8"/>
                <c:pt idx="0">
                  <c:v>2009</c:v>
                </c:pt>
                <c:pt idx="1">
                  <c:v>2010</c:v>
                </c:pt>
                <c:pt idx="2">
                  <c:v>2011</c:v>
                </c:pt>
                <c:pt idx="3">
                  <c:v>2012</c:v>
                </c:pt>
                <c:pt idx="4">
                  <c:v>2013</c:v>
                </c:pt>
                <c:pt idx="5">
                  <c:v>2014</c:v>
                </c:pt>
                <c:pt idx="6">
                  <c:v>2015</c:v>
                </c:pt>
                <c:pt idx="7">
                  <c:v>2016</c:v>
                </c:pt>
              </c:strCache>
            </c:strRef>
          </c:cat>
          <c:val>
            <c:numRef>
              <c:f>Data!$Y$105:$Y$113</c:f>
              <c:numCache>
                <c:formatCode>_(* #,##0.00_);_(* \(#,##0.00\);_(* "-"??_);_(@_)</c:formatCode>
                <c:ptCount val="8"/>
                <c:pt idx="0">
                  <c:v>22.958840397443662</c:v>
                </c:pt>
                <c:pt idx="1">
                  <c:v>25.598448629150191</c:v>
                </c:pt>
                <c:pt idx="2">
                  <c:v>29.077812914930611</c:v>
                </c:pt>
                <c:pt idx="3">
                  <c:v>24.940033757028505</c:v>
                </c:pt>
                <c:pt idx="4">
                  <c:v>27.871110560110743</c:v>
                </c:pt>
                <c:pt idx="5">
                  <c:v>29.091544228044082</c:v>
                </c:pt>
                <c:pt idx="6">
                  <c:v>11.263839327337228</c:v>
                </c:pt>
                <c:pt idx="7">
                  <c:v>8.190443921165885</c:v>
                </c:pt>
              </c:numCache>
            </c:numRef>
          </c:val>
        </c:ser>
        <c:ser>
          <c:idx val="1"/>
          <c:order val="1"/>
          <c:tx>
            <c:strRef>
              <c:f>Data!$Z$104</c:f>
              <c:strCache>
                <c:ptCount val="1"/>
                <c:pt idx="0">
                  <c:v> Capex </c:v>
                </c:pt>
              </c:strCache>
            </c:strRef>
          </c:tx>
          <c:spPr>
            <a:solidFill>
              <a:schemeClr val="accent2"/>
            </a:solidFill>
            <a:ln>
              <a:noFill/>
            </a:ln>
            <a:effectLst/>
          </c:spPr>
          <c:invertIfNegative val="0"/>
          <c:cat>
            <c:strRef>
              <c:f>Data!$X$105:$X$113</c:f>
              <c:strCache>
                <c:ptCount val="8"/>
                <c:pt idx="0">
                  <c:v>2009</c:v>
                </c:pt>
                <c:pt idx="1">
                  <c:v>2010</c:v>
                </c:pt>
                <c:pt idx="2">
                  <c:v>2011</c:v>
                </c:pt>
                <c:pt idx="3">
                  <c:v>2012</c:v>
                </c:pt>
                <c:pt idx="4">
                  <c:v>2013</c:v>
                </c:pt>
                <c:pt idx="5">
                  <c:v>2014</c:v>
                </c:pt>
                <c:pt idx="6">
                  <c:v>2015</c:v>
                </c:pt>
                <c:pt idx="7">
                  <c:v>2016</c:v>
                </c:pt>
              </c:strCache>
            </c:strRef>
          </c:cat>
          <c:val>
            <c:numRef>
              <c:f>Data!$Z$105:$Z$113</c:f>
              <c:numCache>
                <c:formatCode>_(* #,##0.00_);_(* \(#,##0.00\);_(* "-"??_);_(@_)</c:formatCode>
                <c:ptCount val="8"/>
                <c:pt idx="0">
                  <c:v>20.655362441546192</c:v>
                </c:pt>
                <c:pt idx="1">
                  <c:v>34.094331151210362</c:v>
                </c:pt>
                <c:pt idx="2">
                  <c:v>35.719384213667517</c:v>
                </c:pt>
                <c:pt idx="3">
                  <c:v>35.912774879455689</c:v>
                </c:pt>
                <c:pt idx="4">
                  <c:v>30.380259581667879</c:v>
                </c:pt>
                <c:pt idx="5">
                  <c:v>41.247249242911025</c:v>
                </c:pt>
                <c:pt idx="6">
                  <c:v>19.277003969728099</c:v>
                </c:pt>
                <c:pt idx="7">
                  <c:v>14.513077587012416</c:v>
                </c:pt>
              </c:numCache>
            </c:numRef>
          </c:val>
        </c:ser>
        <c:dLbls>
          <c:showLegendKey val="0"/>
          <c:showVal val="0"/>
          <c:showCatName val="0"/>
          <c:showSerName val="0"/>
          <c:showPercent val="0"/>
          <c:showBubbleSize val="0"/>
        </c:dLbls>
        <c:gapWidth val="219"/>
        <c:overlap val="-27"/>
        <c:axId val="533918560"/>
        <c:axId val="533919120"/>
      </c:barChart>
      <c:catAx>
        <c:axId val="533918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33919120"/>
        <c:crosses val="autoZero"/>
        <c:auto val="1"/>
        <c:lblAlgn val="ctr"/>
        <c:lblOffset val="100"/>
        <c:noMultiLvlLbl val="0"/>
      </c:catAx>
      <c:valAx>
        <c:axId val="533919120"/>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a:t>$/BOE</a:t>
                </a:r>
              </a:p>
            </c:rich>
          </c:tx>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33918560"/>
        <c:crosses val="autoZero"/>
        <c:crossBetween val="between"/>
      </c:valAx>
      <c:spPr>
        <a:noFill/>
        <a:ln>
          <a:noFill/>
        </a:ln>
        <a:effectLst/>
      </c:spPr>
    </c:plotArea>
    <c:legend>
      <c:legendPos val="r"/>
      <c:layout>
        <c:manualLayout>
          <c:xMode val="edge"/>
          <c:yMode val="edge"/>
          <c:x val="0.15371642962499721"/>
          <c:y val="0.10432408070203346"/>
          <c:w val="0.39551827794991329"/>
          <c:h val="0.13140757973435138"/>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1">
  <a:schemeClr val="accent1"/>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32</xdr:col>
      <xdr:colOff>304799</xdr:colOff>
      <xdr:row>4</xdr:row>
      <xdr:rowOff>195261</xdr:rowOff>
    </xdr:from>
    <xdr:to>
      <xdr:col>46</xdr:col>
      <xdr:colOff>209550</xdr:colOff>
      <xdr:row>33</xdr:row>
      <xdr:rowOff>57150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28</xdr:col>
      <xdr:colOff>428625</xdr:colOff>
      <xdr:row>24</xdr:row>
      <xdr:rowOff>9525</xdr:rowOff>
    </xdr:from>
    <xdr:to>
      <xdr:col>31</xdr:col>
      <xdr:colOff>200025</xdr:colOff>
      <xdr:row>37</xdr:row>
      <xdr:rowOff>57150</xdr:rowOff>
    </xdr:to>
    <mc:AlternateContent xmlns:mc="http://schemas.openxmlformats.org/markup-compatibility/2006" xmlns:a14="http://schemas.microsoft.com/office/drawing/2010/main">
      <mc:Choice Requires="a14">
        <xdr:graphicFrame macro="">
          <xdr:nvGraphicFramePr>
            <xdr:cNvPr id="3" name="Company 2"/>
            <xdr:cNvGraphicFramePr/>
          </xdr:nvGraphicFramePr>
          <xdr:xfrm>
            <a:off x="0" y="0"/>
            <a:ext cx="0" cy="0"/>
          </xdr:xfrm>
          <a:graphic>
            <a:graphicData uri="http://schemas.microsoft.com/office/drawing/2010/slicer">
              <sle:slicer xmlns:sle="http://schemas.microsoft.com/office/drawing/2010/slicer" name="Company 2"/>
            </a:graphicData>
          </a:graphic>
        </xdr:graphicFrame>
      </mc:Choice>
      <mc:Fallback xmlns="">
        <xdr:sp macro="" textlink="">
          <xdr:nvSpPr>
            <xdr:cNvPr id="0" name=""/>
            <xdr:cNvSpPr>
              <a:spLocks noTextEdit="1"/>
            </xdr:cNvSpPr>
          </xdr:nvSpPr>
          <xdr:spPr>
            <a:xfrm>
              <a:off x="20488275" y="46005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26</xdr:col>
      <xdr:colOff>9525</xdr:colOff>
      <xdr:row>24</xdr:row>
      <xdr:rowOff>19051</xdr:rowOff>
    </xdr:from>
    <xdr:to>
      <xdr:col>28</xdr:col>
      <xdr:colOff>466725</xdr:colOff>
      <xdr:row>36</xdr:row>
      <xdr:rowOff>9525</xdr:rowOff>
    </xdr:to>
    <mc:AlternateContent xmlns:mc="http://schemas.openxmlformats.org/markup-compatibility/2006" xmlns:a14="http://schemas.microsoft.com/office/drawing/2010/main">
      <mc:Choice Requires="a14">
        <xdr:graphicFrame macro="">
          <xdr:nvGraphicFramePr>
            <xdr:cNvPr id="4" name="Year 2"/>
            <xdr:cNvGraphicFramePr/>
          </xdr:nvGraphicFramePr>
          <xdr:xfrm>
            <a:off x="0" y="0"/>
            <a:ext cx="0" cy="0"/>
          </xdr:xfrm>
          <a:graphic>
            <a:graphicData uri="http://schemas.microsoft.com/office/drawing/2010/slicer">
              <sle:slicer xmlns:sle="http://schemas.microsoft.com/office/drawing/2010/slicer" name="Year 2"/>
            </a:graphicData>
          </a:graphic>
        </xdr:graphicFrame>
      </mc:Choice>
      <mc:Fallback xmlns="">
        <xdr:sp macro="" textlink="">
          <xdr:nvSpPr>
            <xdr:cNvPr id="0" name=""/>
            <xdr:cNvSpPr>
              <a:spLocks noTextEdit="1"/>
            </xdr:cNvSpPr>
          </xdr:nvSpPr>
          <xdr:spPr>
            <a:xfrm>
              <a:off x="18297525" y="461010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24</xdr:col>
      <xdr:colOff>479425</xdr:colOff>
      <xdr:row>51</xdr:row>
      <xdr:rowOff>15875</xdr:rowOff>
    </xdr:from>
    <xdr:to>
      <xdr:col>28</xdr:col>
      <xdr:colOff>711200</xdr:colOff>
      <xdr:row>65</xdr:row>
      <xdr:rowOff>92075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619125</xdr:colOff>
      <xdr:row>68</xdr:row>
      <xdr:rowOff>134937</xdr:rowOff>
    </xdr:from>
    <xdr:to>
      <xdr:col>33</xdr:col>
      <xdr:colOff>561975</xdr:colOff>
      <xdr:row>83</xdr:row>
      <xdr:rowOff>26987</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xdr:col>
      <xdr:colOff>666750</xdr:colOff>
      <xdr:row>86</xdr:row>
      <xdr:rowOff>47625</xdr:rowOff>
    </xdr:from>
    <xdr:to>
      <xdr:col>35</xdr:col>
      <xdr:colOff>85725</xdr:colOff>
      <xdr:row>100</xdr:row>
      <xdr:rowOff>123825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26</xdr:col>
      <xdr:colOff>238125</xdr:colOff>
      <xdr:row>102</xdr:row>
      <xdr:rowOff>100012</xdr:rowOff>
    </xdr:from>
    <xdr:to>
      <xdr:col>31</xdr:col>
      <xdr:colOff>409575</xdr:colOff>
      <xdr:row>116</xdr:row>
      <xdr:rowOff>176212</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20</xdr:col>
      <xdr:colOff>3361</xdr:colOff>
      <xdr:row>19</xdr:row>
      <xdr:rowOff>9525</xdr:rowOff>
    </xdr:from>
    <xdr:to>
      <xdr:col>28</xdr:col>
      <xdr:colOff>191620</xdr:colOff>
      <xdr:row>34</xdr:row>
      <xdr:rowOff>169545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608075</xdr:colOff>
      <xdr:row>19</xdr:row>
      <xdr:rowOff>9525</xdr:rowOff>
    </xdr:from>
    <xdr:to>
      <xdr:col>18</xdr:col>
      <xdr:colOff>187451</xdr:colOff>
      <xdr:row>34</xdr:row>
      <xdr:rowOff>169545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19</xdr:row>
      <xdr:rowOff>9525</xdr:rowOff>
    </xdr:from>
    <xdr:to>
      <xdr:col>8</xdr:col>
      <xdr:colOff>188976</xdr:colOff>
      <xdr:row>34</xdr:row>
      <xdr:rowOff>169545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3361</xdr:colOff>
      <xdr:row>1</xdr:row>
      <xdr:rowOff>0</xdr:rowOff>
    </xdr:from>
    <xdr:to>
      <xdr:col>28</xdr:col>
      <xdr:colOff>192337</xdr:colOff>
      <xdr:row>16</xdr:row>
      <xdr:rowOff>160020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608075</xdr:colOff>
      <xdr:row>1</xdr:row>
      <xdr:rowOff>0</xdr:rowOff>
    </xdr:from>
    <xdr:to>
      <xdr:col>18</xdr:col>
      <xdr:colOff>187451</xdr:colOff>
      <xdr:row>16</xdr:row>
      <xdr:rowOff>160020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381000</xdr:colOff>
      <xdr:row>1</xdr:row>
      <xdr:rowOff>0</xdr:rowOff>
    </xdr:from>
    <xdr:to>
      <xdr:col>3</xdr:col>
      <xdr:colOff>3810</xdr:colOff>
      <xdr:row>17</xdr:row>
      <xdr:rowOff>60960</xdr:rowOff>
    </xdr:to>
    <mc:AlternateContent xmlns:mc="http://schemas.openxmlformats.org/markup-compatibility/2006" xmlns:a14="http://schemas.microsoft.com/office/drawing/2010/main">
      <mc:Choice Requires="a14">
        <xdr:graphicFrame macro="">
          <xdr:nvGraphicFramePr>
            <xdr:cNvPr id="12" name="Year 3"/>
            <xdr:cNvGraphicFramePr/>
          </xdr:nvGraphicFramePr>
          <xdr:xfrm>
            <a:off x="0" y="0"/>
            <a:ext cx="0" cy="0"/>
          </xdr:xfrm>
          <a:graphic>
            <a:graphicData uri="http://schemas.microsoft.com/office/drawing/2010/slicer">
              <sle:slicer xmlns:sle="http://schemas.microsoft.com/office/drawing/2010/slicer" name="Year 3"/>
            </a:graphicData>
          </a:graphic>
        </xdr:graphicFrame>
      </mc:Choice>
      <mc:Fallback xmlns="">
        <xdr:sp macro="" textlink="">
          <xdr:nvSpPr>
            <xdr:cNvPr id="0" name=""/>
            <xdr:cNvSpPr>
              <a:spLocks noTextEdit="1"/>
            </xdr:cNvSpPr>
          </xdr:nvSpPr>
          <xdr:spPr>
            <a:xfrm>
              <a:off x="381000" y="0"/>
              <a:ext cx="1451610" cy="310896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380999</xdr:colOff>
      <xdr:row>1</xdr:row>
      <xdr:rowOff>0</xdr:rowOff>
    </xdr:from>
    <xdr:to>
      <xdr:col>7</xdr:col>
      <xdr:colOff>276224</xdr:colOff>
      <xdr:row>14</xdr:row>
      <xdr:rowOff>85725</xdr:rowOff>
    </xdr:to>
    <mc:AlternateContent xmlns:mc="http://schemas.openxmlformats.org/markup-compatibility/2006" xmlns:a14="http://schemas.microsoft.com/office/drawing/2010/main">
      <mc:Choice Requires="a14">
        <xdr:graphicFrame macro="">
          <xdr:nvGraphicFramePr>
            <xdr:cNvPr id="13" name="Company 3"/>
            <xdr:cNvGraphicFramePr/>
          </xdr:nvGraphicFramePr>
          <xdr:xfrm>
            <a:off x="0" y="0"/>
            <a:ext cx="0" cy="0"/>
          </xdr:xfrm>
          <a:graphic>
            <a:graphicData uri="http://schemas.microsoft.com/office/drawing/2010/slicer">
              <sle:slicer xmlns:sle="http://schemas.microsoft.com/office/drawing/2010/slicer" name="Company 3"/>
            </a:graphicData>
          </a:graphic>
        </xdr:graphicFrame>
      </mc:Choice>
      <mc:Fallback xmlns="">
        <xdr:sp macro="" textlink="">
          <xdr:nvSpPr>
            <xdr:cNvPr id="0" name=""/>
            <xdr:cNvSpPr>
              <a:spLocks noTextEdit="1"/>
            </xdr:cNvSpPr>
          </xdr:nvSpPr>
          <xdr:spPr>
            <a:xfrm>
              <a:off x="2209799" y="0"/>
              <a:ext cx="2333625" cy="310896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6</xdr:col>
      <xdr:colOff>155574</xdr:colOff>
      <xdr:row>11</xdr:row>
      <xdr:rowOff>28574</xdr:rowOff>
    </xdr:from>
    <xdr:to>
      <xdr:col>13</xdr:col>
      <xdr:colOff>596899</xdr:colOff>
      <xdr:row>28</xdr:row>
      <xdr:rowOff>88899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633412</xdr:colOff>
      <xdr:row>1</xdr:row>
      <xdr:rowOff>138112</xdr:rowOff>
    </xdr:from>
    <xdr:to>
      <xdr:col>16</xdr:col>
      <xdr:colOff>309562</xdr:colOff>
      <xdr:row>16</xdr:row>
      <xdr:rowOff>23812</xdr:rowOff>
    </xdr:to>
    <xdr:graphicFrame macro="">
      <xdr:nvGraphicFramePr>
        <xdr:cNvPr id="3"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Danny Quijano" refreshedDate="42878.71861585648" createdVersion="5" refreshedVersion="5" minRefreshableVersion="3" recordCount="160">
  <cacheSource type="worksheet">
    <worksheetSource ref="A1:U161" sheet="Data"/>
  </cacheSource>
  <cacheFields count="52">
    <cacheField name="Company" numFmtId="0">
      <sharedItems count="17">
        <s v="Anadarko"/>
        <s v="Apache"/>
        <s v="Cabot"/>
        <s v="Chesapeake"/>
        <s v="Concho"/>
        <s v="Conoco"/>
        <s v="Continental"/>
        <s v="Devon"/>
        <s v="Encana"/>
        <s v="EOG"/>
        <s v="Hess"/>
        <s v="Marathon"/>
        <s v="Occidental"/>
        <s v="Pioneer"/>
        <s v="Range"/>
        <s v="Southwestern"/>
        <s v="Ultra" u="1"/>
      </sharedItems>
    </cacheField>
    <cacheField name="Year" numFmtId="0">
      <sharedItems containsSemiMixedTypes="0" containsString="0" containsNumber="1" containsInteger="1" minValue="2007" maxValue="2016" count="10">
        <n v="2007"/>
        <n v="2008"/>
        <n v="2009"/>
        <n v="2010"/>
        <n v="2011"/>
        <n v="2012"/>
        <n v="2013"/>
        <n v="2014"/>
        <n v="2015"/>
        <n v="2016"/>
      </sharedItems>
    </cacheField>
    <cacheField name="Total Production (mmboe)" numFmtId="0">
      <sharedItems containsString="0" containsBlank="1" containsNumber="1" minValue="10.930666666666667" maxValue="668.5"/>
    </cacheField>
    <cacheField name="O&amp;G Revenue" numFmtId="164">
      <sharedItems containsString="0" containsBlank="1" containsNumber="1" minValue="510.767" maxValue="64196"/>
    </cacheField>
    <cacheField name="Midstream Revenue" numFmtId="164">
      <sharedItems containsString="0" containsBlank="1" containsNumber="1" minValue="0" maxValue="12771"/>
    </cacheField>
    <cacheField name="Operating, Transport, Gathering, Processing" numFmtId="164">
      <sharedItems containsString="0" containsBlank="1" containsNumber="1" minValue="-8827" maxValue="0"/>
    </cacheField>
    <cacheField name="NonIncome Tax" numFmtId="164">
      <sharedItems containsString="0" containsBlank="1" containsNumber="1" minValue="-6032" maxValue="0"/>
    </cacheField>
    <cacheField name="Exploration Expense" numFmtId="164">
      <sharedItems containsString="0" containsBlank="1" containsNumber="1" minValue="-4395" maxValue="0"/>
    </cacheField>
    <cacheField name="G&amp;A and Marketing" numFmtId="164">
      <sharedItems containsString="0" containsBlank="1" containsNumber="1" minValue="-12558" maxValue="0"/>
    </cacheField>
    <cacheField name="EBITDA" numFmtId="164">
      <sharedItems containsSemiMixedTypes="0" containsString="0" containsNumber="1" minValue="0" maxValue="49095"/>
    </cacheField>
    <cacheField name="DD&amp;A (Upstream)" numFmtId="164">
      <sharedItems containsString="0" containsBlank="1" containsNumber="1" minValue="-9437" maxValue="499.85599999999999"/>
    </cacheField>
    <cacheField name="Clean EBIT" numFmtId="164">
      <sharedItems containsSemiMixedTypes="0" containsString="0" containsNumber="1" minValue="-3018" maxValue="42101"/>
    </cacheField>
    <cacheField name="Interest" numFmtId="164">
      <sharedItems containsString="0" containsBlank="1" containsNumber="1" minValue="-1776" maxValue="0"/>
    </cacheField>
    <cacheField name="Income Tax" numFmtId="164">
      <sharedItems containsString="0" containsBlank="1" containsNumber="1" minValue="-9827" maxValue="383"/>
    </cacheField>
    <cacheField name="CleanNet Income" numFmtId="164">
      <sharedItems containsString="0" containsBlank="1" containsNumber="1" minValue="-4135" maxValue="30832"/>
    </cacheField>
    <cacheField name="Diff in NI" numFmtId="164">
      <sharedItems containsString="0" containsBlank="1" containsNumber="1" minValue="-18330" maxValue="6698"/>
    </cacheField>
    <cacheField name="Reported Net Income" numFmtId="164">
      <sharedItems containsString="0" containsBlank="1" containsNumber="1" minValue="-15203" maxValue="12502"/>
    </cacheField>
    <cacheField name="DD&amp;A (Company-wide)" numFmtId="164">
      <sharedItems containsString="0" containsBlank="1" containsNumber="1" minValue="-499.85599999999999" maxValue="9295"/>
    </cacheField>
    <cacheField name="Other CF Adjustments" numFmtId="164">
      <sharedItems containsString="0" containsBlank="1" containsNumber="1" minValue="-5408" maxValue="17447"/>
    </cacheField>
    <cacheField name="Cash Flow" numFmtId="164">
      <sharedItems containsString="0" containsBlank="1" containsNumber="1" minValue="-1877" maxValue="16412"/>
    </cacheField>
    <cacheField name="Capex" numFmtId="164">
      <sharedItems containsString="0" containsBlank="1" containsNumber="1" minValue="389.84399999999999" maxValue="20819"/>
    </cacheField>
    <cacheField name="Oil, Gas, &amp; NGL Sales" numFmtId="0" formula="'O&amp;G Revenue'/'Total Production (mmboe)'" databaseField="0"/>
    <cacheField name="Production Costs" numFmtId="0" formula="'Operating, Transport, Gathering, Processing'/'Total Production (mmboe)'" databaseField="0"/>
    <cacheField name="Exploration" numFmtId="0" formula="'Exploration Expense'/'Total Production (mmboe)'" databaseField="0"/>
    <cacheField name="Non-Income Tax" numFmtId="0" formula="'NonIncome Tax'/'Total Production (mmboe)'" databaseField="0"/>
    <cacheField name="G&amp;A" numFmtId="0" formula="'G&amp;A and Marketing'/'Total Production (mmboe)'" databaseField="0"/>
    <cacheField name="EBITDA " numFmtId="0" formula="EBITDA/'Total Production (mmboe)'" databaseField="0"/>
    <cacheField name="Upstream DD&amp;A" numFmtId="0" formula="'DD&amp;A (Upstream)'/'Total Production (mmboe)'" databaseField="0"/>
    <cacheField name="Clean EBIT " numFmtId="0" formula="'Clean EBIT'/'Total Production (mmboe)'" databaseField="0"/>
    <cacheField name="Non-Upstream Operating" numFmtId="0" formula="#NAME?/'Total Production (mmboe)'" databaseField="0"/>
    <cacheField name="Interest " numFmtId="0" formula="Interest/'Total Production (mmboe)'" databaseField="0"/>
    <cacheField name="Other Non-Operating" numFmtId="0" formula="#NAME?/'Total Production (mmboe)'" databaseField="0"/>
    <cacheField name="Income Tax " numFmtId="0" formula="'Income Tax'/'Total Production (mmboe)'" databaseField="0"/>
    <cacheField name="Net Income " numFmtId="0" formula="'CleanNet Income'/'Total Production (mmboe)'" databaseField="0"/>
    <cacheField name="Total DD&amp;A" numFmtId="0" formula="'DD&amp;A (Company-wide)'/'Total Production (mmboe)'" databaseField="0"/>
    <cacheField name="Other CF Adjustments " numFmtId="0" formula="'Other CF Adjustments'/'Total Production (mmboe)'" databaseField="0"/>
    <cacheField name="CF from Operations" numFmtId="0" formula="'Cash Flow'/'Total Production (mmboe)'" databaseField="0"/>
    <cacheField name="Capex " numFmtId="0" formula="Capex/'Total Production (mmboe)'" databaseField="0"/>
    <cacheField name="Reported EBIT " numFmtId="0" formula="#NAME?/'Total Production (mmboe)'" databaseField="0"/>
    <cacheField name="Midstream Revenue " numFmtId="0" formula="'Midstream Revenue'/'Total Production (mmboe)'" databaseField="0"/>
    <cacheField name="The Heaping Mound" numFmtId="0" formula="'Diff in NI'/'Total Production (mmboe)'" databaseField="0"/>
    <cacheField name="Reported NI" numFmtId="0" formula="'Reported Net Income'/'Total Production (mmboe)'" databaseField="0"/>
    <cacheField name="Revenue" numFmtId="0" formula="'O&amp;G Revenue'+'Midstream Revenue'" databaseField="0"/>
    <cacheField name="Production Costs (Bar)" numFmtId="0" formula="-'Operating, Transport, Gathering, Processing'" databaseField="0"/>
    <cacheField name="Exploration Costs (Bar)" numFmtId="0" formula="-'Exploration Expense'" databaseField="0"/>
    <cacheField name="Nin-Income Tax (Bar)" numFmtId="0" formula="-'NonIncome Tax'" databaseField="0"/>
    <cacheField name="G&amp;A and Marketing (Bar)" numFmtId="0" formula="-'G&amp;A and Marketing'" databaseField="0"/>
    <cacheField name="Upstream DD&amp;A (Bar)" numFmtId="0" formula="-'DD&amp;A (Upstream)'" databaseField="0"/>
    <cacheField name="Interest Expense (Bar)" numFmtId="0" formula="-Interest" databaseField="0"/>
    <cacheField name="Income Tax (Bar)" numFmtId="0" formula="-'Income Tax'" databaseField="0"/>
    <cacheField name="Interest as a % of EBIT" numFmtId="0" formula="'Interest Expense (Bar)'/'Clean EBIT'" databaseField="0"/>
    <cacheField name="Total Upstream Cash costs" numFmtId="0" formula="'Production Costs (Bar)'+'Exploration Costs (Bar)'+'Nin-Income Tax (Bar)'+'G&amp;A and Marketing (Bar)'+'Interest Expense (Bar)'+'Income Tax (Bar)'" databaseField="0"/>
  </cacheFields>
  <extLst>
    <ext xmlns:x14="http://schemas.microsoft.com/office/spreadsheetml/2009/9/main" uri="{725AE2AE-9491-48be-B2B4-4EB974FC3084}">
      <x14:pivotCacheDefinition pivotCacheId="3"/>
    </ext>
  </extLst>
</pivotCacheDefinition>
</file>

<file path=xl/pivotCache/pivotCacheDefinition2.xml><?xml version="1.0" encoding="utf-8"?>
<pivotCacheDefinition xmlns="http://schemas.openxmlformats.org/spreadsheetml/2006/main" xmlns:r="http://schemas.openxmlformats.org/officeDocument/2006/relationships" r:id="rId1" refreshedBy="Danny Quijano" refreshedDate="42881.468621412037" createdVersion="5" refreshedVersion="5" minRefreshableVersion="3" recordCount="160">
  <cacheSource type="worksheet">
    <worksheetSource ref="A1:E161" sheet="WSJ"/>
  </cacheSource>
  <cacheFields count="6">
    <cacheField name="Company" numFmtId="0">
      <sharedItems count="16">
        <s v="Anadarko"/>
        <s v="Apache"/>
        <s v="Cabot"/>
        <s v="Chesapeake"/>
        <s v="Concho"/>
        <s v="Conoco"/>
        <s v="Continental"/>
        <s v="Devon"/>
        <s v="Encana"/>
        <s v="EOG"/>
        <s v="Hess"/>
        <s v="Marathon"/>
        <s v="Occidental"/>
        <s v="Pioneer"/>
        <s v="Range"/>
        <s v="Southwestern"/>
      </sharedItems>
    </cacheField>
    <cacheField name="Year" numFmtId="0">
      <sharedItems containsSemiMixedTypes="0" containsString="0" containsNumber="1" containsInteger="1" minValue="2007" maxValue="2016" count="10">
        <n v="2007"/>
        <n v="2008"/>
        <n v="2009"/>
        <n v="2010"/>
        <n v="2011"/>
        <n v="2012"/>
        <n v="2013"/>
        <n v="2014"/>
        <n v="2015"/>
        <n v="2016"/>
      </sharedItems>
    </cacheField>
    <cacheField name="Operating Cash Flow" numFmtId="164">
      <sharedItems containsSemiMixedTypes="0" containsString="0" containsNumber="1" minValue="-1877" maxValue="16412"/>
    </cacheField>
    <cacheField name="Capex" numFmtId="164">
      <sharedItems containsSemiMixedTypes="0" containsString="0" containsNumber="1" minValue="0" maxValue="20819"/>
    </cacheField>
    <cacheField name="Dividend" numFmtId="164">
      <sharedItems containsSemiMixedTypes="0" containsString="0" containsNumber="1" containsInteger="1" minValue="0" maxValue="3664"/>
    </cacheField>
    <cacheField name="Field1" numFmtId="0" formula="'Operating Cash Flow'-Capex-Dividend"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0">
  <r>
    <x v="0"/>
    <x v="0"/>
    <n v="212.33333333333331"/>
    <m/>
    <m/>
    <m/>
    <m/>
    <m/>
    <m/>
    <n v="0"/>
    <m/>
    <n v="0"/>
    <m/>
    <m/>
    <m/>
    <m/>
    <m/>
    <m/>
    <m/>
    <m/>
    <m/>
  </r>
  <r>
    <x v="0"/>
    <x v="1"/>
    <n v="205"/>
    <m/>
    <m/>
    <m/>
    <m/>
    <m/>
    <m/>
    <n v="0"/>
    <m/>
    <n v="0"/>
    <m/>
    <m/>
    <m/>
    <m/>
    <m/>
    <m/>
    <m/>
    <m/>
    <m/>
  </r>
  <r>
    <x v="0"/>
    <x v="2"/>
    <n v="224.16666666666666"/>
    <n v="7482"/>
    <n v="728"/>
    <n v="-1522"/>
    <n v="-712"/>
    <n v="-1107"/>
    <n v="-1600"/>
    <n v="3269"/>
    <n v="-3319"/>
    <n v="-50"/>
    <n v="-773"/>
    <n v="-194"/>
    <n v="-1017"/>
    <n v="914"/>
    <n v="-103"/>
    <n v="3532"/>
    <n v="497"/>
    <n v="3926"/>
    <n v="4660"/>
  </r>
  <r>
    <x v="0"/>
    <x v="3"/>
    <n v="235.16666666666666"/>
    <n v="10009"/>
    <n v="833"/>
    <n v="-1644"/>
    <n v="-1037"/>
    <n v="-974"/>
    <n v="-1582"/>
    <n v="5605"/>
    <n v="-3485"/>
    <n v="2120"/>
    <n v="-871"/>
    <n v="-307"/>
    <n v="942"/>
    <n v="-121"/>
    <n v="821"/>
    <n v="3714"/>
    <n v="712"/>
    <n v="5247"/>
    <n v="5086"/>
  </r>
  <r>
    <x v="0"/>
    <x v="4"/>
    <n v="246"/>
    <n v="12834"/>
    <n v="1048"/>
    <n v="-1883"/>
    <n v="-1457"/>
    <n v="-1076"/>
    <n v="-1851"/>
    <n v="7615"/>
    <n v="-3584"/>
    <n v="4031"/>
    <n v="-986"/>
    <n v="-262"/>
    <n v="2783"/>
    <n v="-215"/>
    <n v="2568"/>
    <n v="3830"/>
    <n v="-3893"/>
    <n v="2505"/>
    <n v="5641"/>
  </r>
  <r>
    <x v="0"/>
    <x v="5"/>
    <n v="267.66666666666663"/>
    <n v="12396"/>
    <n v="911"/>
    <n v="-1929"/>
    <n v="-1180"/>
    <n v="-1946"/>
    <n v="-2009"/>
    <n v="6243"/>
    <n v="-3710"/>
    <n v="2533"/>
    <n v="-963"/>
    <n v="300"/>
    <n v="1870"/>
    <n v="575"/>
    <n v="2445"/>
    <n v="3964"/>
    <n v="1930"/>
    <n v="8339"/>
    <n v="6367"/>
  </r>
  <r>
    <x v="0"/>
    <x v="6"/>
    <n v="283.83333333333337"/>
    <n v="13828"/>
    <n v="1039"/>
    <n v="-2160"/>
    <n v="-1024"/>
    <n v="-1329"/>
    <n v="-1959"/>
    <n v="8395"/>
    <n v="-3621"/>
    <n v="4774"/>
    <n v="-949"/>
    <n v="-169"/>
    <n v="3656"/>
    <n v="-2715"/>
    <n v="941"/>
    <n v="3927"/>
    <n v="4020"/>
    <n v="8888"/>
    <n v="7486"/>
  </r>
  <r>
    <x v="0"/>
    <x v="7"/>
    <n v="311.5"/>
    <n v="15169"/>
    <n v="1206"/>
    <n v="-2451"/>
    <n v="-1187"/>
    <n v="-1639"/>
    <n v="-2346"/>
    <n v="8752"/>
    <n v="-4181"/>
    <n v="4571"/>
    <n v="-973"/>
    <n v="-956"/>
    <n v="2642"/>
    <n v="-4205"/>
    <n v="-1563"/>
    <n v="4550"/>
    <n v="5479"/>
    <n v="8466"/>
    <n v="8712"/>
  </r>
  <r>
    <x v="0"/>
    <x v="8"/>
    <n v="306"/>
    <n v="8260"/>
    <n v="1226"/>
    <n v="-2281"/>
    <n v="-488"/>
    <n v="-2644"/>
    <n v="-2230"/>
    <n v="1843"/>
    <n v="-4184"/>
    <n v="-2341"/>
    <n v="-989"/>
    <n v="-26"/>
    <n v="-3356"/>
    <n v="-3456"/>
    <n v="-6812"/>
    <n v="4603"/>
    <n v="332"/>
    <n v="-1877"/>
    <n v="5753"/>
  </r>
  <r>
    <x v="0"/>
    <x v="9"/>
    <n v="291"/>
    <n v="7153"/>
    <n v="1294"/>
    <n v="-1875"/>
    <n v="-471"/>
    <n v="-946"/>
    <n v="-2527"/>
    <n v="2628"/>
    <n v="-3907"/>
    <n v="-1279"/>
    <n v="-1022"/>
    <n v="-882"/>
    <n v="-3183"/>
    <n v="375"/>
    <n v="-2808"/>
    <n v="4301"/>
    <n v="1507"/>
    <n v="3000"/>
    <n v="5633"/>
  </r>
  <r>
    <x v="1"/>
    <x v="0"/>
    <n v="204.85166666666666"/>
    <m/>
    <m/>
    <n v="0"/>
    <n v="0"/>
    <n v="0"/>
    <n v="0"/>
    <n v="0"/>
    <m/>
    <n v="0"/>
    <n v="0"/>
    <n v="0"/>
    <n v="0"/>
    <n v="0"/>
    <m/>
    <n v="0"/>
    <n v="0"/>
    <m/>
    <m/>
  </r>
  <r>
    <x v="1"/>
    <x v="1"/>
    <n v="195.59316666666666"/>
    <m/>
    <m/>
    <n v="0"/>
    <n v="0"/>
    <n v="0"/>
    <n v="0"/>
    <n v="0"/>
    <m/>
    <n v="0"/>
    <n v="0"/>
    <n v="0"/>
    <n v="0"/>
    <n v="0"/>
    <m/>
    <n v="0"/>
    <n v="0"/>
    <m/>
    <m/>
  </r>
  <r>
    <x v="1"/>
    <x v="2"/>
    <n v="212.91449999999998"/>
    <n v="8574"/>
    <n v="0"/>
    <n v="-1805"/>
    <n v="-580"/>
    <n v="0"/>
    <n v="-344"/>
    <n v="5845"/>
    <n v="-2395"/>
    <n v="3450"/>
    <n v="-309"/>
    <n v="-686"/>
    <n v="2455"/>
    <n v="-2740"/>
    <n v="-285"/>
    <n v="2395"/>
    <n v="2114"/>
    <n v="4224"/>
    <n v="3455"/>
  </r>
  <r>
    <x v="1"/>
    <x v="3"/>
    <n v="240.03650000000002"/>
    <n v="12183"/>
    <n v="0"/>
    <n v="-2210"/>
    <n v="-690"/>
    <n v="0"/>
    <n v="-380"/>
    <n v="8903"/>
    <n v="-3083"/>
    <n v="5820"/>
    <n v="-345"/>
    <n v="-1170"/>
    <n v="4305"/>
    <n v="-1273"/>
    <n v="3032"/>
    <n v="3083"/>
    <n v="611"/>
    <n v="6726"/>
    <n v="15791"/>
  </r>
  <r>
    <x v="1"/>
    <x v="4"/>
    <n v="273.0743333333333"/>
    <n v="16810"/>
    <n v="0"/>
    <n v="-2874"/>
    <n v="-899"/>
    <n v="0"/>
    <n v="-459"/>
    <n v="12578"/>
    <n v="-4095"/>
    <n v="8483"/>
    <n v="-433"/>
    <n v="-1686"/>
    <n v="6364"/>
    <n v="-1780"/>
    <n v="4584"/>
    <n v="4095"/>
    <n v="1274"/>
    <n v="9953"/>
    <n v="9108"/>
  </r>
  <r>
    <x v="1"/>
    <x v="5"/>
    <n v="284.99650000000003"/>
    <n v="16564"/>
    <n v="0"/>
    <n v="-3079"/>
    <n v="-818"/>
    <n v="0"/>
    <n v="-515"/>
    <n v="12152"/>
    <n v="-4593"/>
    <n v="7559"/>
    <n v="-501"/>
    <n v="-2590"/>
    <n v="4468"/>
    <n v="-2467"/>
    <n v="2001"/>
    <n v="4593"/>
    <n v="1910"/>
    <n v="8504"/>
    <n v="12483"/>
  </r>
  <r>
    <x v="1"/>
    <x v="6"/>
    <n v="277.68283333333335"/>
    <n v="14771"/>
    <n v="0"/>
    <n v="-2938"/>
    <n v="-785"/>
    <n v="0"/>
    <n v="-481"/>
    <n v="10567"/>
    <n v="-4534"/>
    <n v="6033"/>
    <n v="-560"/>
    <n v="-1766"/>
    <n v="3707"/>
    <n v="-1419"/>
    <n v="2288"/>
    <n v="4534"/>
    <n v="1863"/>
    <n v="8685"/>
    <n v="9905"/>
  </r>
  <r>
    <x v="1"/>
    <x v="7"/>
    <n v="241.577"/>
    <n v="12691"/>
    <n v="0"/>
    <n v="-2511"/>
    <n v="-678"/>
    <n v="0"/>
    <n v="-273"/>
    <n v="9229"/>
    <n v="-4388"/>
    <n v="4841"/>
    <n v="-499"/>
    <n v="-1357"/>
    <n v="2985"/>
    <n v="-11004"/>
    <n v="-8019"/>
    <n v="4388"/>
    <n v="11588"/>
    <n v="7957"/>
    <n v="11481"/>
  </r>
  <r>
    <x v="1"/>
    <x v="8"/>
    <n v="206.84066666666666"/>
    <n v="6383"/>
    <n v="0"/>
    <n v="-2065"/>
    <n v="-259"/>
    <n v="0"/>
    <n v="-211"/>
    <n v="3848"/>
    <n v="-3531"/>
    <n v="317"/>
    <n v="-486"/>
    <n v="-573"/>
    <n v="-742"/>
    <n v="-9925"/>
    <n v="-10667"/>
    <n v="3531"/>
    <n v="9803"/>
    <n v="2667"/>
    <n v="4249"/>
  </r>
  <r>
    <x v="1"/>
    <x v="9"/>
    <n v="190.94149999999999"/>
    <n v="5208"/>
    <n v="0"/>
    <n v="-1494"/>
    <n v="-120"/>
    <n v="0"/>
    <n v="-200"/>
    <n v="3394"/>
    <n v="-1974"/>
    <n v="1420"/>
    <n v="-464"/>
    <n v="-305"/>
    <n v="651"/>
    <n v="-1924"/>
    <n v="-1273"/>
    <n v="1974"/>
    <n v="1729"/>
    <n v="2430"/>
    <n v="1635"/>
  </r>
  <r>
    <x v="2"/>
    <x v="0"/>
    <n v="14.2425"/>
    <m/>
    <m/>
    <n v="0"/>
    <n v="0"/>
    <n v="0"/>
    <n v="0"/>
    <n v="0"/>
    <m/>
    <n v="0"/>
    <n v="0"/>
    <n v="0"/>
    <n v="0"/>
    <n v="0"/>
    <m/>
    <n v="0"/>
    <n v="0"/>
    <m/>
    <m/>
  </r>
  <r>
    <x v="2"/>
    <x v="1"/>
    <n v="15.864833333333333"/>
    <m/>
    <m/>
    <n v="0"/>
    <n v="0"/>
    <n v="0"/>
    <n v="0"/>
    <n v="0"/>
    <m/>
    <n v="0"/>
    <n v="0"/>
    <n v="0"/>
    <n v="0"/>
    <n v="0"/>
    <m/>
    <n v="0"/>
    <n v="0"/>
    <m/>
    <m/>
  </r>
  <r>
    <x v="2"/>
    <x v="2"/>
    <n v="17.163"/>
    <n v="743.54300000000001"/>
    <n v="0"/>
    <n v="-107.794"/>
    <n v="-44.649000000000001"/>
    <n v="-50.753999999999998"/>
    <n v="-68.373999999999995"/>
    <n v="471.97199999999998"/>
    <n v="-251.26"/>
    <n v="220.71199999999999"/>
    <n v="-53.241099999999996"/>
    <n v="-27.08"/>
    <n v="140.39089999999999"/>
    <n v="7.9521000000000015"/>
    <n v="148.34299999999999"/>
    <n v="251.26"/>
    <n v="214.44900000000007"/>
    <n v="614.05200000000002"/>
    <n v="593.41100000000006"/>
  </r>
  <r>
    <x v="2"/>
    <x v="3"/>
    <n v="21.770333333333333"/>
    <n v="713.64599999999996"/>
    <n v="0"/>
    <n v="-118.711"/>
    <n v="-37.893999999999998"/>
    <n v="-42.725000000000001"/>
    <n v="-79.177000000000007"/>
    <n v="435.1389999999999"/>
    <n v="-327.08300000000003"/>
    <n v="108.05599999999987"/>
    <n v="-57.712600000000002"/>
    <n v="-1.05"/>
    <n v="49.29339999999987"/>
    <n v="54.092600000000125"/>
    <n v="103.386"/>
    <n v="327.08300000000003"/>
    <n v="54.44199999999995"/>
    <n v="484.911"/>
    <n v="828.35500000000002"/>
  </r>
  <r>
    <x v="2"/>
    <x v="4"/>
    <n v="30.913333333333334"/>
    <n v="796.51700000000005"/>
    <n v="0"/>
    <n v="-180.73099999999999"/>
    <n v="-27.576000000000001"/>
    <n v="-34.447000000000003"/>
    <n v="-104.667"/>
    <n v="449.096"/>
    <n v="-343.14100000000002"/>
    <n v="105.95499999999998"/>
    <n v="-53.671600000000005"/>
    <n v="-65.352000000000004"/>
    <n v="-13.068600000000025"/>
    <n v="135.47660000000002"/>
    <n v="122.408"/>
    <n v="343.14100000000002"/>
    <n v="36.289999999999964"/>
    <n v="501.839"/>
    <n v="888.25299999999993"/>
  </r>
  <r>
    <x v="2"/>
    <x v="5"/>
    <n v="44.573666666666668"/>
    <n v="1162.067"/>
    <n v="0"/>
    <n v="-261.55200000000002"/>
    <n v="-48.874000000000002"/>
    <n v="-37.475999999999999"/>
    <n v="-121.239"/>
    <n v="692.92599999999993"/>
    <n v="-451.40499999999997"/>
    <n v="241.52099999999996"/>
    <n v="-51.094100000000005"/>
    <n v="-22.501000000000001"/>
    <n v="167.92589999999996"/>
    <n v="-36.195899999999966"/>
    <n v="131.72999999999999"/>
    <n v="451.40499999999997"/>
    <n v="68.95799999999997"/>
    <n v="652.09299999999996"/>
    <n v="969.88400000000001"/>
  </r>
  <r>
    <x v="2"/>
    <x v="6"/>
    <n v="68.887666666666675"/>
    <n v="1696.6799999999998"/>
    <n v="0"/>
    <n v="-370.34500000000003"/>
    <n v="-43.045000000000002"/>
    <n v="-18.164999999999999"/>
    <n v="-104.60599999999999"/>
    <n v="1160.5189999999998"/>
    <n v="-651.05200000000002"/>
    <n v="509.46699999999976"/>
    <n v="-53.301100000000005"/>
    <n v="-35.280999999999999"/>
    <n v="420.88489999999973"/>
    <n v="-141.11189999999971"/>
    <n v="279.77300000000002"/>
    <n v="651.05200000000002"/>
    <n v="93.701000000000022"/>
    <n v="1024.5260000000001"/>
    <n v="1186.105"/>
  </r>
  <r>
    <x v="2"/>
    <x v="7"/>
    <n v="88.62766666666667"/>
    <n v="1904.5140000000001"/>
    <n v="0"/>
    <n v="-494.85"/>
    <n v="-47.012"/>
    <n v="-28.745999999999999"/>
    <n v="-82.59"/>
    <n v="1251.3160000000003"/>
    <n v="-632.76"/>
    <n v="618.55600000000027"/>
    <n v="-63.305266666666668"/>
    <n v="-77.028999999999996"/>
    <n v="478.22173333333365"/>
    <n v="-373.75373333333363"/>
    <n v="104.468"/>
    <n v="632.76"/>
    <n v="499.20699999999999"/>
    <n v="1236.4349999999999"/>
    <n v="1771.7330000000002"/>
  </r>
  <r>
    <x v="2"/>
    <x v="8"/>
    <n v="100.42933333333333"/>
    <n v="1273.2550000000001"/>
    <n v="0"/>
    <n v="-568.40200000000004"/>
    <n v="-42.808999999999997"/>
    <n v="-27.46"/>
    <n v="-69.444000000000003"/>
    <n v="565.1400000000001"/>
    <n v="-622.21100000000001"/>
    <n v="-57.070999999999913"/>
    <n v="-85.296600000000012"/>
    <n v="-7.55"/>
    <n v="-149.91759999999994"/>
    <n v="36.026599999999931"/>
    <n v="-113.89100000000001"/>
    <n v="622.21100000000001"/>
    <n v="232.41699999999997"/>
    <n v="740.73699999999997"/>
    <n v="793.86300000000006"/>
  </r>
  <r>
    <x v="2"/>
    <x v="9"/>
    <n v="104.5"/>
    <n v="1173.6959999999999"/>
    <n v="0"/>
    <n v="-537.23799999999994"/>
    <n v="-29.222999999999999"/>
    <n v="-27.661999999999999"/>
    <n v="-87.242000000000004"/>
    <n v="492.33099999999996"/>
    <n v="-590.12800000000004"/>
    <n v="-97.797000000000082"/>
    <n v="-55.5861011"/>
    <n v="-0.68799999999999994"/>
    <n v="-154.07110110000008"/>
    <n v="-263.05289889999995"/>
    <n v="-417.12400000000002"/>
    <n v="590.12800000000004"/>
    <n v="219.37299999999999"/>
    <n v="392.37700000000001"/>
    <n v="389.84399999999999"/>
  </r>
  <r>
    <x v="3"/>
    <x v="0"/>
    <n v="119.06666666666668"/>
    <m/>
    <m/>
    <n v="0"/>
    <n v="0"/>
    <n v="0"/>
    <n v="0"/>
    <n v="0"/>
    <m/>
    <n v="0"/>
    <n v="0"/>
    <n v="0"/>
    <n v="0"/>
    <n v="0"/>
    <m/>
    <n v="0"/>
    <n v="0"/>
    <m/>
    <m/>
  </r>
  <r>
    <x v="3"/>
    <x v="1"/>
    <n v="140.36666666666665"/>
    <m/>
    <m/>
    <n v="0"/>
    <n v="0"/>
    <n v="0"/>
    <n v="0"/>
    <n v="0"/>
    <m/>
    <n v="0"/>
    <n v="0"/>
    <n v="0"/>
    <n v="0"/>
    <n v="0"/>
    <m/>
    <n v="0"/>
    <n v="0"/>
    <m/>
    <m/>
  </r>
  <r>
    <x v="3"/>
    <x v="2"/>
    <n v="150.96666666666667"/>
    <n v="5049"/>
    <n v="2653"/>
    <n v="-1058"/>
    <n v="-107"/>
    <n v="0"/>
    <n v="-349"/>
    <n v="6188"/>
    <n v="-1531"/>
    <n v="4657"/>
    <n v="-825"/>
    <n v="-7"/>
    <n v="3825"/>
    <n v="-9630"/>
    <n v="-5805"/>
    <n v="1615"/>
    <n v="8546"/>
    <n v="4356"/>
    <n v="6396"/>
  </r>
  <r>
    <x v="3"/>
    <x v="3"/>
    <n v="172.56666666666666"/>
    <n v="5647"/>
    <n v="3719"/>
    <n v="-1101"/>
    <n v="-157"/>
    <n v="0"/>
    <n v="-453"/>
    <n v="7655"/>
    <n v="-1518"/>
    <n v="6137"/>
    <n v="-779"/>
    <n v="291"/>
    <n v="5649"/>
    <n v="-3875"/>
    <n v="1774"/>
    <n v="1614"/>
    <n v="1729"/>
    <n v="5117"/>
    <n v="12809"/>
  </r>
  <r>
    <x v="3"/>
    <x v="4"/>
    <n v="199.03333333333333"/>
    <n v="6024"/>
    <n v="5611"/>
    <n v="-1475"/>
    <n v="-192"/>
    <n v="0"/>
    <n v="-5515"/>
    <n v="4453"/>
    <n v="-1759"/>
    <n v="2694"/>
    <n v="-723"/>
    <n v="25"/>
    <n v="1996"/>
    <n v="-239"/>
    <n v="1757"/>
    <n v="1923"/>
    <n v="2223"/>
    <n v="5903"/>
    <n v="11812"/>
  </r>
  <r>
    <x v="3"/>
    <x v="5"/>
    <n v="237.06666666666666"/>
    <n v="6278"/>
    <n v="6038"/>
    <n v="-1769"/>
    <n v="-188"/>
    <n v="0"/>
    <n v="-5847"/>
    <n v="4512"/>
    <n v="-2624"/>
    <n v="1888"/>
    <n v="-802"/>
    <n v="-44"/>
    <n v="1042"/>
    <n v="-1636"/>
    <n v="-594"/>
    <n v="2811"/>
    <n v="620"/>
    <n v="2837"/>
    <n v="11391"/>
  </r>
  <r>
    <x v="3"/>
    <x v="6"/>
    <n v="244.5"/>
    <n v="8626"/>
    <n v="10454"/>
    <n v="-3469"/>
    <n v="-229"/>
    <n v="0"/>
    <n v="-9918"/>
    <n v="5464"/>
    <n v="-2674"/>
    <n v="2790"/>
    <n v="-894"/>
    <n v="-26"/>
    <n v="1870"/>
    <n v="-976"/>
    <n v="894"/>
    <n v="2903"/>
    <n v="817"/>
    <n v="4614"/>
    <n v="5784"/>
  </r>
  <r>
    <x v="3"/>
    <x v="7"/>
    <n v="257.90000000000003"/>
    <n v="10354"/>
    <n v="12771"/>
    <n v="-3813"/>
    <n v="-232"/>
    <n v="0"/>
    <n v="-12558"/>
    <n v="6522"/>
    <n v="-2756"/>
    <n v="3766"/>
    <n v="-768"/>
    <n v="-10"/>
    <n v="2988"/>
    <n v="-932"/>
    <n v="2056"/>
    <n v="2915"/>
    <n v="-337"/>
    <n v="4634"/>
    <n v="5420"/>
  </r>
  <r>
    <x v="3"/>
    <x v="8"/>
    <n v="247.93333333333334"/>
    <n v="5391"/>
    <n v="7373"/>
    <n v="-3165"/>
    <n v="-99"/>
    <n v="0"/>
    <n v="-7365"/>
    <n v="2135"/>
    <n v="-2170"/>
    <n v="-35"/>
    <n v="-694"/>
    <n v="-44"/>
    <n v="-773"/>
    <n v="-13862"/>
    <n v="-14635"/>
    <n v="2229"/>
    <n v="13640"/>
    <n v="1234"/>
    <n v="3112"/>
  </r>
  <r>
    <x v="3"/>
    <x v="9"/>
    <n v="233"/>
    <n v="3288"/>
    <n v="4584"/>
    <n v="-2565"/>
    <n v="-74"/>
    <n v="0"/>
    <n v="-5018"/>
    <n v="215"/>
    <n v="-1024"/>
    <n v="-809"/>
    <n v="-669"/>
    <n v="27"/>
    <n v="-1451"/>
    <n v="-2948"/>
    <n v="-4399"/>
    <n v="1107"/>
    <n v="3088"/>
    <n v="-204"/>
    <n v="1985"/>
  </r>
  <r>
    <x v="4"/>
    <x v="0"/>
    <m/>
    <m/>
    <m/>
    <m/>
    <m/>
    <m/>
    <m/>
    <n v="0"/>
    <m/>
    <n v="0"/>
    <m/>
    <m/>
    <n v="0"/>
    <n v="0"/>
    <m/>
    <m/>
    <n v="0"/>
    <m/>
    <m/>
  </r>
  <r>
    <x v="4"/>
    <x v="1"/>
    <m/>
    <m/>
    <m/>
    <m/>
    <m/>
    <m/>
    <m/>
    <n v="0"/>
    <m/>
    <n v="0"/>
    <m/>
    <m/>
    <n v="0"/>
    <n v="0"/>
    <m/>
    <m/>
    <n v="0"/>
    <m/>
    <m/>
  </r>
  <r>
    <x v="4"/>
    <x v="2"/>
    <n v="10.930666666666667"/>
    <n v="510.767"/>
    <n v="0"/>
    <n v="-56.048000000000002"/>
    <n v="-41.619"/>
    <n v="-10.632"/>
    <n v="-53.162999999999997"/>
    <n v="349.30500000000001"/>
    <n v="-191.88900000000001"/>
    <n v="157.416"/>
    <n v="-14.862"/>
    <n v="-7.2990000000000004"/>
    <n v="135.255"/>
    <n v="-145.05699999999999"/>
    <n v="-9.8019999999999996"/>
    <n v="191.88900000000001"/>
    <n v="177.45899999999997"/>
    <n v="359.54599999999999"/>
    <n v="673.98"/>
  </r>
  <r>
    <x v="4"/>
    <x v="3"/>
    <n v="15.564166666666667"/>
    <n v="940.26700000000005"/>
    <n v="0"/>
    <n v="-86.533999999999992"/>
    <n v="-79.875"/>
    <n v="-10.324"/>
    <n v="-94.275000000000006"/>
    <n v="669.25900000000013"/>
    <n v="-241.642"/>
    <n v="427.61700000000013"/>
    <n v="-48.052"/>
    <n v="-19.885000000000002"/>
    <n v="359.68000000000012"/>
    <n v="-155.31000000000012"/>
    <n v="204.37"/>
    <n v="241.642"/>
    <n v="205.57"/>
    <n v="651.58199999999999"/>
    <n v="2370.7999999999997"/>
  </r>
  <r>
    <x v="4"/>
    <x v="4"/>
    <n v="23.644333333333336"/>
    <n v="1617.771"/>
    <n v="0"/>
    <n v="-146.88799999999998"/>
    <n v="-131.041"/>
    <n v="-11.394"/>
    <n v="-98.525000000000006"/>
    <n v="1229.923"/>
    <n v="-400.02199999999999"/>
    <n v="829.90100000000007"/>
    <n v="-77.921000000000006"/>
    <n v="-22.768000000000001"/>
    <n v="729.21199999999999"/>
    <n v="-181.07500000000005"/>
    <n v="548.13699999999994"/>
    <n v="400.02199999999999"/>
    <n v="251.29900000000021"/>
    <n v="1199.4580000000001"/>
    <n v="1818.1310000000003"/>
  </r>
  <r>
    <x v="4"/>
    <x v="5"/>
    <n v="29.768166666666666"/>
    <n v="1819.8140000000001"/>
    <n v="0"/>
    <n v="-192.94200000000001"/>
    <n v="-150.80099999999999"/>
    <n v="-39.840000000000003"/>
    <n v="-133.79599999999999"/>
    <n v="1302.4350000000002"/>
    <n v="-575.12800000000004"/>
    <n v="727.30700000000013"/>
    <n v="-158.715"/>
    <n v="-19.673999999999999"/>
    <n v="548.91800000000012"/>
    <n v="-117.2290000000001"/>
    <n v="431.68900000000002"/>
    <n v="575.12800000000004"/>
    <n v="230.66100000000006"/>
    <n v="1237.4780000000001"/>
    <n v="2803.1109999999999"/>
  </r>
  <r>
    <x v="4"/>
    <x v="6"/>
    <n v="33.635000000000005"/>
    <n v="2319.9189999999999"/>
    <n v="0"/>
    <n v="-263.87199999999996"/>
    <n v="-191.56400000000002"/>
    <n v="-109.54900000000001"/>
    <n v="-169.815"/>
    <n v="1585.1189999999999"/>
    <n v="-772.60799999999995"/>
    <n v="812.51099999999997"/>
    <n v="-200.96100000000001"/>
    <n v="-21.376000000000001"/>
    <n v="590.17399999999998"/>
    <n v="-339.17099999999999"/>
    <n v="251.00299999999999"/>
    <n v="772.60799999999995"/>
    <n v="338.40900000000011"/>
    <n v="1362.02"/>
    <n v="1853.1209999999999"/>
  </r>
  <r>
    <x v="4"/>
    <x v="7"/>
    <n v="40.875"/>
    <n v="2660.1469999999999"/>
    <n v="0"/>
    <n v="-329.25099999999998"/>
    <n v="-209.12300000000002"/>
    <n v="-284.82100000000003"/>
    <n v="-204.161"/>
    <n v="1632.7909999999997"/>
    <n v="-979.74"/>
    <n v="653.0509999999997"/>
    <n v="-211.34200000000001"/>
    <n v="-27.844000000000001"/>
    <n v="413.86499999999972"/>
    <n v="124.31000000000023"/>
    <n v="538.17499999999995"/>
    <n v="979.74"/>
    <n v="155.87200000000007"/>
    <n v="1673.787"/>
    <n v="2934.3770000000004"/>
  </r>
  <r>
    <x v="4"/>
    <x v="8"/>
    <n v="52.288166666666669"/>
    <n v="1803.5730000000001"/>
    <n v="0"/>
    <n v="-389.70400000000006"/>
    <n v="-151.655"/>
    <n v="-58.847000000000001"/>
    <n v="-230.73400000000001"/>
    <n v="972.63300000000015"/>
    <n v="-1223.2529999999999"/>
    <n v="-250.61999999999978"/>
    <n v="-211.44300000000001"/>
    <n v="-3.95"/>
    <n v="-466.01299999999975"/>
    <n v="531.91299999999978"/>
    <n v="65.900000000000006"/>
    <n v="1223.2529999999999"/>
    <n v="241.26800000000003"/>
    <n v="1530.421"/>
    <n v="2102.3429999999998"/>
  </r>
  <r>
    <x v="4"/>
    <x v="9"/>
    <n v="55.087000000000003"/>
    <n v="1634.9880000000001"/>
    <n v="0"/>
    <n v="-409.90899999999999"/>
    <n v="-131.45000000000002"/>
    <n v="-77.453999999999994"/>
    <n v="-225.565"/>
    <n v="790.61000000000013"/>
    <n v="-1167.2080000000001"/>
    <n v="-376.59799999999996"/>
    <n v="-232.173"/>
    <n v="0"/>
    <n v="-608.77099999999996"/>
    <n v="-853.67499999999995"/>
    <n v="-1462.4459999999999"/>
    <n v="1167.2080000000001"/>
    <n v="1679.6859999999999"/>
    <n v="1384.4480000000001"/>
    <n v="1172.9870000000001"/>
  </r>
  <r>
    <x v="5"/>
    <x v="0"/>
    <n v="668.5"/>
    <m/>
    <m/>
    <m/>
    <m/>
    <n v="0"/>
    <m/>
    <n v="0"/>
    <m/>
    <n v="0"/>
    <n v="0"/>
    <n v="0"/>
    <n v="0"/>
    <n v="0"/>
    <m/>
    <n v="0"/>
    <n v="0"/>
    <m/>
    <m/>
  </r>
  <r>
    <x v="5"/>
    <x v="1"/>
    <n v="659.5"/>
    <m/>
    <m/>
    <n v="0"/>
    <n v="0"/>
    <n v="0"/>
    <n v="0"/>
    <n v="0"/>
    <m/>
    <n v="0"/>
    <n v="0"/>
    <n v="0"/>
    <n v="0"/>
    <n v="0"/>
    <m/>
    <n v="0"/>
    <n v="0"/>
    <m/>
    <m/>
  </r>
  <r>
    <x v="5"/>
    <x v="2"/>
    <n v="658.66666666666663"/>
    <n v="48509"/>
    <n v="0"/>
    <n v="-7686"/>
    <n v="-4102"/>
    <n v="-1219"/>
    <n v="-1830"/>
    <n v="33672"/>
    <n v="-8664"/>
    <n v="25008"/>
    <n v="-1776"/>
    <n v="-998"/>
    <n v="22234"/>
    <n v="-17742"/>
    <n v="4492"/>
    <n v="9295"/>
    <n v="-1308"/>
    <n v="12479"/>
    <n v="10838"/>
  </r>
  <r>
    <x v="5"/>
    <x v="3"/>
    <n v="617"/>
    <n v="56215"/>
    <n v="0"/>
    <n v="-7381"/>
    <n v="-6032"/>
    <n v="-1221"/>
    <n v="-809"/>
    <n v="40772"/>
    <n v="-8621"/>
    <n v="32151"/>
    <n v="-1658"/>
    <n v="-1210"/>
    <n v="29283"/>
    <n v="-17866"/>
    <n v="11417"/>
    <n v="8004"/>
    <n v="-5408"/>
    <n v="14013"/>
    <n v="10954"/>
  </r>
  <r>
    <x v="5"/>
    <x v="4"/>
    <n v="546"/>
    <n v="64196"/>
    <n v="0"/>
    <n v="-7605"/>
    <n v="-5513"/>
    <n v="-1118"/>
    <n v="-865"/>
    <n v="49095"/>
    <n v="-6994"/>
    <n v="42101"/>
    <n v="-1442"/>
    <n v="-9827"/>
    <n v="30832"/>
    <n v="-18330"/>
    <n v="12502"/>
    <n v="6827"/>
    <n v="-5376"/>
    <n v="13953"/>
    <n v="13353"/>
  </r>
  <r>
    <x v="5"/>
    <x v="5"/>
    <n v="604"/>
    <n v="57967"/>
    <n v="0"/>
    <n v="-8220"/>
    <n v="-4884"/>
    <n v="-1511"/>
    <n v="-1106"/>
    <n v="42246"/>
    <n v="-6833"/>
    <n v="35413"/>
    <n v="-1324"/>
    <n v="-8100"/>
    <n v="25989"/>
    <n v="-17491"/>
    <n v="8498"/>
    <n v="6580"/>
    <n v="-1620"/>
    <n v="13458"/>
    <n v="17822"/>
  </r>
  <r>
    <x v="5"/>
    <x v="6"/>
    <n v="593"/>
    <n v="54413"/>
    <n v="0"/>
    <n v="-8694"/>
    <n v="-3201"/>
    <n v="-1276"/>
    <n v="-854"/>
    <n v="40388"/>
    <n v="-7406"/>
    <n v="32982"/>
    <n v="-1279"/>
    <n v="-4910"/>
    <n v="26793"/>
    <n v="-17578"/>
    <n v="9215"/>
    <n v="7434"/>
    <n v="-793"/>
    <n v="15856"/>
    <n v="20819"/>
  </r>
  <r>
    <x v="5"/>
    <x v="7"/>
    <n v="517.5"/>
    <n v="52524"/>
    <n v="0"/>
    <n v="-8827"/>
    <n v="-3240"/>
    <n v="-2051"/>
    <n v="-735"/>
    <n v="37671"/>
    <n v="-8427"/>
    <n v="29244"/>
    <n v="-1136"/>
    <n v="-4203"/>
    <n v="23905"/>
    <n v="-16967"/>
    <n v="6938"/>
    <n v="8329"/>
    <n v="1145"/>
    <n v="16412"/>
    <n v="20308"/>
  </r>
  <r>
    <x v="5"/>
    <x v="8"/>
    <n v="610.83333333333326"/>
    <n v="29564"/>
    <n v="0"/>
    <n v="-8022"/>
    <n v="-1524"/>
    <n v="-4395"/>
    <n v="-953"/>
    <n v="14670"/>
    <n v="-9220"/>
    <n v="5450"/>
    <n v="-1214"/>
    <n v="-523"/>
    <n v="3713"/>
    <n v="-8084"/>
    <n v="-4371"/>
    <n v="9113"/>
    <n v="2830"/>
    <n v="7572"/>
    <n v="11480"/>
  </r>
  <r>
    <x v="5"/>
    <x v="9"/>
    <n v="598"/>
    <n v="23693"/>
    <n v="0"/>
    <n v="-6708"/>
    <n v="-1147"/>
    <n v="-1917"/>
    <n v="-723"/>
    <n v="13198"/>
    <n v="-9437"/>
    <n v="3761"/>
    <n v="-1402"/>
    <n v="318"/>
    <n v="2677"/>
    <n v="-6236"/>
    <n v="-3559"/>
    <n v="9062"/>
    <n v="-1100"/>
    <n v="4403"/>
    <n v="4542"/>
  </r>
  <r>
    <x v="6"/>
    <x v="0"/>
    <m/>
    <m/>
    <m/>
    <m/>
    <m/>
    <m/>
    <m/>
    <n v="0"/>
    <m/>
    <n v="0"/>
    <m/>
    <m/>
    <n v="0"/>
    <n v="0"/>
    <m/>
    <m/>
    <n v="0"/>
    <m/>
    <m/>
  </r>
  <r>
    <x v="6"/>
    <x v="1"/>
    <m/>
    <m/>
    <m/>
    <m/>
    <m/>
    <m/>
    <m/>
    <n v="0"/>
    <m/>
    <n v="0"/>
    <m/>
    <m/>
    <n v="0"/>
    <n v="0"/>
    <m/>
    <m/>
    <n v="0"/>
    <m/>
    <m/>
  </r>
  <r>
    <x v="6"/>
    <x v="2"/>
    <n v="13.623000000000001"/>
    <n v="610.69799999999998"/>
    <n v="17.033000000000001"/>
    <n v="-76.718999999999994"/>
    <n v="-45.645000000000003"/>
    <n v="-12.615"/>
    <n v="-41.094000000000001"/>
    <n v="451.65799999999996"/>
    <n v="-204.489"/>
    <n v="247.16899999999995"/>
    <n v="-20.544609999999999"/>
    <n v="-0.14599999999999999"/>
    <n v="226.47838999999996"/>
    <n v="-155.14038999999997"/>
    <n v="71.337999999999994"/>
    <n v="207.602"/>
    <n v="94.045999999999992"/>
    <n v="372.98599999999999"/>
    <n v="432.03699999999998"/>
  </r>
  <r>
    <x v="6"/>
    <x v="3"/>
    <n v="15.810500000000001"/>
    <n v="948.524"/>
    <n v="21.303000000000001"/>
    <n v="-86.557000000000002"/>
    <n v="-76.659000000000006"/>
    <n v="-12.763"/>
    <n v="-49.09"/>
    <n v="744.75799999999992"/>
    <n v="-239.74799999999999"/>
    <n v="505.00999999999993"/>
    <n v="-48.314012187500005"/>
    <n v="-10.879"/>
    <n v="445.81698781249992"/>
    <n v="-277.56198781249992"/>
    <n v="168.255"/>
    <n v="243.601"/>
    <n v="241.31100000000004"/>
    <n v="653.16700000000003"/>
    <n v="1196.828"/>
  </r>
  <r>
    <x v="6"/>
    <x v="4"/>
    <n v="22.580833333333334"/>
    <n v="1647.4190000000001"/>
    <n v="32.418999999999997"/>
    <n v="-135.178"/>
    <n v="-143.23599999999999"/>
    <n v="-27.92"/>
    <n v="-72.816999999999993"/>
    <n v="1300.6870000000004"/>
    <n v="-384.30099999999999"/>
    <n v="916.38600000000042"/>
    <n v="-69.38866625"/>
    <n v="-16.03"/>
    <n v="830.96733375000042"/>
    <n v="-401.89533375000042"/>
    <n v="429.072"/>
    <n v="390.899"/>
    <n v="247.94399999999996"/>
    <n v="1067.915"/>
    <n v="2156.0949999999998"/>
  </r>
  <r>
    <x v="6"/>
    <x v="5"/>
    <n v="35.715833333333336"/>
    <n v="2379.433"/>
    <n v="39.070999999999998"/>
    <n v="-193.46600000000001"/>
    <n v="-223.73699999999999"/>
    <n v="-23.507000000000001"/>
    <n v="-121.735"/>
    <n v="1856.059"/>
    <n v="-683.20699999999999"/>
    <n v="1172.8519999999999"/>
    <n v="-177.1678919"/>
    <n v="-0.82899999999999996"/>
    <n v="994.85510809999994"/>
    <n v="-255.47010809999995"/>
    <n v="739.38499999999999"/>
    <n v="692.11800000000005"/>
    <n v="200.5619999999999"/>
    <n v="1632.0650000000001"/>
    <n v="4313.0569999999998"/>
  </r>
  <r>
    <x v="6"/>
    <x v="6"/>
    <n v="49.610666666666667"/>
    <n v="3606.7739999999999"/>
    <n v="40.127000000000002"/>
    <n v="-280.78899999999999"/>
    <n v="-298.78699999999998"/>
    <n v="-34.947000000000003"/>
    <n v="-144.37899999999999"/>
    <n v="2887.9990000000003"/>
    <n v="-953.79600000000005"/>
    <n v="1934.2030000000002"/>
    <n v="-242.74997675"/>
    <n v="-29.016999999999999"/>
    <n v="1662.4360232500001"/>
    <n v="-898.21702325000001"/>
    <n v="764.21900000000005"/>
    <n v="965.64499999999998"/>
    <n v="833.43100000000004"/>
    <n v="2563.2950000000001"/>
    <n v="3792.6550000000002"/>
  </r>
  <r>
    <x v="6"/>
    <x v="7"/>
    <n v="63.579166666666666"/>
    <n v="4203.0219999999999"/>
    <n v="38.837000000000003"/>
    <n v="-347.34899999999999"/>
    <n v="-349.76"/>
    <n v="-50.067"/>
    <n v="-184.655"/>
    <n v="3310.0279999999998"/>
    <n v="-1338.3510000000001"/>
    <n v="1971.6769999999997"/>
    <n v="-262.65889241666667"/>
    <n v="-53.457000000000001"/>
    <n v="1655.5611075833328"/>
    <n v="-678.22010758333283"/>
    <n v="977.34100000000001"/>
    <n v="1358.6690000000001"/>
    <n v="1019.7049999999999"/>
    <n v="3355.7150000000001"/>
    <n v="4972.2"/>
  </r>
  <r>
    <x v="6"/>
    <x v="8"/>
    <n v="80.926000000000002"/>
    <n v="2552.5309999999999"/>
    <n v="36.551000000000002"/>
    <n v="-347.24299999999999"/>
    <n v="-200.637"/>
    <n v="-19.413"/>
    <n v="-189.846"/>
    <n v="1831.943"/>
    <n v="-1722.336"/>
    <n v="109.60699999999997"/>
    <n v="-292.31302234999998"/>
    <n v="-0.03"/>
    <n v="-182.73602235000001"/>
    <n v="-170.93197764999999"/>
    <n v="-353.66800000000001"/>
    <n v="1749.056"/>
    <n v="461.71300000000019"/>
    <n v="1857.1010000000001"/>
    <n v="2536.3020000000001"/>
  </r>
  <r>
    <x v="6"/>
    <x v="9"/>
    <n v="79.39"/>
    <n v="2026.9580000000001"/>
    <n v="25.173999999999999"/>
    <n v="-289.28899999999999"/>
    <n v="-142.38800000000001"/>
    <n v="-16.972000000000001"/>
    <n v="-169.58"/>
    <n v="1433.9030000000002"/>
    <n v="-1679.4849999999999"/>
    <n v="-245.58199999999965"/>
    <n v="-310.23352602083332"/>
    <n v="-2E-3"/>
    <n v="-555.81752602083293"/>
    <n v="156.13852602083296"/>
    <n v="-399.67899999999997"/>
    <n v="1708.7439999999999"/>
    <n v="-183.14599999999996"/>
    <n v="1125.9190000000001"/>
    <n v="1114.0729999999999"/>
  </r>
  <r>
    <x v="7"/>
    <x v="0"/>
    <n v="204.66666666666666"/>
    <m/>
    <m/>
    <n v="0"/>
    <n v="0"/>
    <n v="0"/>
    <n v="0"/>
    <n v="0"/>
    <m/>
    <n v="0"/>
    <n v="0"/>
    <n v="0"/>
    <n v="0"/>
    <n v="0"/>
    <m/>
    <n v="0"/>
    <n v="0"/>
    <m/>
    <m/>
  </r>
  <r>
    <x v="7"/>
    <x v="1"/>
    <n v="223.33333333333334"/>
    <m/>
    <m/>
    <n v="0"/>
    <n v="0"/>
    <n v="0"/>
    <n v="0"/>
    <n v="0"/>
    <m/>
    <n v="0"/>
    <n v="0"/>
    <n v="0"/>
    <n v="0"/>
    <n v="0"/>
    <m/>
    <n v="0"/>
    <n v="0"/>
    <m/>
    <m/>
  </r>
  <r>
    <x v="7"/>
    <x v="2"/>
    <n v="232.99999999999997"/>
    <n v="6097"/>
    <n v="1534"/>
    <n v="-1670"/>
    <n v="-314"/>
    <n v="0"/>
    <n v="-1670"/>
    <n v="3977"/>
    <n v="-1832"/>
    <n v="2145"/>
    <n v="-437"/>
    <n v="-68"/>
    <n v="1640"/>
    <n v="-4119"/>
    <n v="-2479"/>
    <n v="2108"/>
    <n v="5108"/>
    <n v="4737"/>
    <n v="4087"/>
  </r>
  <r>
    <x v="7"/>
    <x v="3"/>
    <n v="227.99999999999997"/>
    <n v="7262"/>
    <n v="1867"/>
    <n v="-1689"/>
    <n v="-380"/>
    <n v="0"/>
    <n v="-1689"/>
    <n v="5371"/>
    <n v="-1675"/>
    <n v="3696"/>
    <n v="-408"/>
    <n v="-955"/>
    <n v="2333"/>
    <n v="2217"/>
    <n v="4550"/>
    <n v="1930"/>
    <n v="-1002"/>
    <n v="5478"/>
    <n v="6544"/>
  </r>
  <r>
    <x v="7"/>
    <x v="4"/>
    <n v="240.83333333333331"/>
    <n v="8315"/>
    <n v="2249"/>
    <n v="-1851"/>
    <n v="-424"/>
    <n v="0"/>
    <n v="-1851"/>
    <n v="6438"/>
    <n v="-1987"/>
    <n v="4451"/>
    <n v="-414"/>
    <n v="383"/>
    <n v="4420"/>
    <n v="284"/>
    <n v="4704"/>
    <n v="2248"/>
    <n v="-728"/>
    <n v="6224"/>
    <n v="6943"/>
  </r>
  <r>
    <x v="7"/>
    <x v="5"/>
    <n v="249.33333333333331"/>
    <n v="7153"/>
    <n v="1655"/>
    <n v="-2074"/>
    <n v="-414"/>
    <n v="0"/>
    <n v="-2074"/>
    <n v="4246"/>
    <n v="-2526"/>
    <n v="1720"/>
    <n v="-440"/>
    <n v="-100"/>
    <n v="1180"/>
    <n v="-1386"/>
    <n v="-206"/>
    <n v="2811"/>
    <n v="2351"/>
    <n v="4956"/>
    <n v="8005"/>
  </r>
  <r>
    <x v="7"/>
    <x v="6"/>
    <n v="252.66666666666669"/>
    <n v="8522"/>
    <n v="2066"/>
    <n v="-2268"/>
    <n v="-461"/>
    <n v="0"/>
    <n v="-2170"/>
    <n v="5689"/>
    <n v="-2465"/>
    <n v="3224"/>
    <n v="-466"/>
    <n v="-13"/>
    <n v="2745"/>
    <n v="-2765"/>
    <n v="-20"/>
    <n v="2780"/>
    <n v="2676"/>
    <n v="5436"/>
    <n v="5922"/>
  </r>
  <r>
    <x v="7"/>
    <x v="7"/>
    <n v="245.83333333333331"/>
    <n v="9910"/>
    <n v="7667"/>
    <n v="-2332"/>
    <n v="-535"/>
    <n v="0"/>
    <n v="-7662"/>
    <n v="7048"/>
    <n v="-3035"/>
    <n v="4013"/>
    <n v="-468"/>
    <n v="-899"/>
    <n v="2646"/>
    <n v="-955"/>
    <n v="1691"/>
    <n v="3319"/>
    <n v="1011"/>
    <n v="6021"/>
    <n v="12172"/>
  </r>
  <r>
    <x v="7"/>
    <x v="8"/>
    <n v="248.83333333333334"/>
    <n v="5382"/>
    <n v="7260"/>
    <n v="-2104"/>
    <n v="-388"/>
    <n v="0"/>
    <n v="-7275"/>
    <n v="2875"/>
    <n v="-2742"/>
    <n v="133"/>
    <n v="-450"/>
    <n v="279"/>
    <n v="-38"/>
    <n v="-15165"/>
    <n v="-15203"/>
    <n v="3129"/>
    <n v="17447"/>
    <n v="5373"/>
    <n v="5170"/>
  </r>
  <r>
    <x v="7"/>
    <x v="9"/>
    <n v="223"/>
    <n v="4182"/>
    <n v="6323"/>
    <n v="-1582"/>
    <n v="-275"/>
    <n v="0"/>
    <n v="-6137"/>
    <n v="2511"/>
    <n v="-1288"/>
    <n v="1223"/>
    <n v="-488"/>
    <n v="159"/>
    <n v="894"/>
    <n v="-4598"/>
    <n v="-3704"/>
    <n v="1792"/>
    <n v="3658"/>
    <n v="1746"/>
    <n v="3132"/>
  </r>
  <r>
    <x v="8"/>
    <x v="0"/>
    <n v="255.2"/>
    <m/>
    <m/>
    <n v="0"/>
    <n v="0"/>
    <n v="0"/>
    <n v="0"/>
    <n v="0"/>
    <m/>
    <n v="0"/>
    <n v="0"/>
    <n v="0"/>
    <n v="0"/>
    <n v="0"/>
    <m/>
    <n v="0"/>
    <n v="0"/>
    <m/>
    <m/>
  </r>
  <r>
    <x v="8"/>
    <x v="1"/>
    <n v="271.06666666666666"/>
    <m/>
    <m/>
    <n v="0"/>
    <n v="0"/>
    <n v="0"/>
    <n v="0"/>
    <n v="0"/>
    <m/>
    <n v="0"/>
    <n v="0"/>
    <n v="0"/>
    <n v="0"/>
    <n v="0"/>
    <m/>
    <n v="0"/>
    <n v="0"/>
    <m/>
    <m/>
  </r>
  <r>
    <x v="8"/>
    <x v="2"/>
    <n v="250.46666666666664"/>
    <n v="12122"/>
    <n v="0"/>
    <n v="-2907"/>
    <n v="-171"/>
    <n v="0"/>
    <n v="-477"/>
    <n v="8567"/>
    <n v="-3569"/>
    <n v="4998"/>
    <n v="-507"/>
    <n v="-766"/>
    <n v="3725"/>
    <n v="-1895"/>
    <n v="1830"/>
    <n v="3704"/>
    <n v="2339"/>
    <n v="7873"/>
    <n v="4810"/>
  </r>
  <r>
    <x v="8"/>
    <x v="3"/>
    <n v="201.96666666666667"/>
    <n v="7104"/>
    <n v="0"/>
    <n v="-1919"/>
    <n v="-217"/>
    <n v="0"/>
    <n v="-361"/>
    <n v="4607"/>
    <n v="-3240"/>
    <n v="1367"/>
    <n v="-507"/>
    <n v="-2024"/>
    <n v="-1164"/>
    <n v="2334"/>
    <n v="1170"/>
    <n v="3318"/>
    <n v="-2159"/>
    <n v="2329"/>
    <n v="5434"/>
  </r>
  <r>
    <x v="8"/>
    <x v="4"/>
    <n v="211.46666666666667"/>
    <n v="6894"/>
    <n v="0"/>
    <n v="-2059"/>
    <n v="-198"/>
    <n v="0"/>
    <n v="-348"/>
    <n v="4289"/>
    <n v="-2192"/>
    <n v="2097"/>
    <n v="-486"/>
    <n v="88"/>
    <n v="1699"/>
    <n v="-1694"/>
    <n v="5"/>
    <n v="3423"/>
    <n v="499"/>
    <n v="3927"/>
    <n v="4960"/>
  </r>
  <r>
    <x v="8"/>
    <x v="5"/>
    <n v="192.96666666666664"/>
    <n v="6125"/>
    <n v="0"/>
    <n v="-2025"/>
    <n v="-105"/>
    <n v="0"/>
    <n v="-392"/>
    <n v="3603"/>
    <n v="-1850"/>
    <n v="1753"/>
    <n v="-509"/>
    <n v="124"/>
    <n v="1368"/>
    <n v="-4162"/>
    <n v="-2794"/>
    <n v="1956"/>
    <n v="3945"/>
    <n v="3107"/>
    <n v="3673"/>
  </r>
  <r>
    <x v="8"/>
    <x v="6"/>
    <n v="188.7"/>
    <n v="5726"/>
    <n v="0"/>
    <n v="-2296"/>
    <n v="-173"/>
    <n v="0"/>
    <n v="-439"/>
    <n v="2818"/>
    <n v="-1419"/>
    <n v="1399"/>
    <n v="-575"/>
    <n v="186"/>
    <n v="1010"/>
    <n v="-774"/>
    <n v="236"/>
    <n v="1565"/>
    <n v="488"/>
    <n v="2289"/>
    <n v="2832"/>
  </r>
  <r>
    <x v="8"/>
    <x v="7"/>
    <n v="174.7"/>
    <n v="6212"/>
    <n v="0"/>
    <n v="-2163"/>
    <n v="-210"/>
    <n v="0"/>
    <n v="-327"/>
    <n v="3512"/>
    <n v="-1617"/>
    <n v="1895"/>
    <n v="-648"/>
    <n v="-43"/>
    <n v="1204"/>
    <n v="2222"/>
    <n v="3426"/>
    <n v="1745"/>
    <n v="-2504"/>
    <n v="2667"/>
    <n v="12992"/>
  </r>
  <r>
    <x v="8"/>
    <x v="8"/>
    <n v="148"/>
    <n v="4313"/>
    <n v="0"/>
    <n v="-1975"/>
    <n v="-144"/>
    <n v="0"/>
    <n v="-275"/>
    <n v="1919"/>
    <n v="-1393"/>
    <n v="526"/>
    <n v="-602"/>
    <n v="105"/>
    <n v="29"/>
    <n v="-5194"/>
    <n v="-5165"/>
    <n v="1488"/>
    <n v="5358"/>
    <n v="1681"/>
    <n v="2263"/>
  </r>
  <r>
    <x v="8"/>
    <x v="9"/>
    <n v="129.1"/>
    <n v="2837"/>
    <n v="0"/>
    <n v="-1499"/>
    <n v="-99"/>
    <m/>
    <n v="-309"/>
    <n v="1831"/>
    <n v="-783"/>
    <n v="1048"/>
    <n v="-397"/>
    <n v="19"/>
    <n v="670"/>
    <n v="-1614"/>
    <n v="-944"/>
    <n v="859"/>
    <n v="710"/>
    <n v="625"/>
    <n v="1339"/>
  </r>
  <r>
    <x v="9"/>
    <x v="0"/>
    <n v="106.13223333333333"/>
    <m/>
    <m/>
    <n v="0"/>
    <n v="0"/>
    <n v="0"/>
    <n v="0"/>
    <n v="0"/>
    <m/>
    <n v="0"/>
    <n v="0"/>
    <n v="0"/>
    <n v="0"/>
    <n v="0"/>
    <m/>
    <n v="0"/>
    <n v="0"/>
    <m/>
    <m/>
  </r>
  <r>
    <x v="9"/>
    <x v="1"/>
    <n v="123.07833333333333"/>
    <m/>
    <m/>
    <n v="0"/>
    <n v="0"/>
    <n v="0"/>
    <n v="0"/>
    <n v="0"/>
    <m/>
    <n v="0"/>
    <n v="0"/>
    <n v="0"/>
    <n v="0"/>
    <n v="0"/>
    <m/>
    <n v="0"/>
    <n v="0"/>
    <m/>
    <m/>
  </r>
  <r>
    <x v="9"/>
    <x v="2"/>
    <n v="131.54599999999999"/>
    <n v="3399.473"/>
    <n v="407.11599999999999"/>
    <n v="-1021.925"/>
    <n v="-174.363"/>
    <n v="-220.83500000000001"/>
    <n v="-645.649"/>
    <n v="1743.817"/>
    <n v="-1453.326"/>
    <n v="290.49099999999999"/>
    <n v="-155.82"/>
    <n v="-51.683999999999997"/>
    <n v="82.986999999999995"/>
    <n v="463.64"/>
    <n v="546.62699999999995"/>
    <n v="1549.1880000000001"/>
    <n v="826.6239999999998"/>
    <n v="2922.4389999999999"/>
    <n v="3823.498"/>
  </r>
  <r>
    <x v="9"/>
    <x v="3"/>
    <n v="143.93066666666667"/>
    <n v="4881.2150000000001"/>
    <n v="909.68"/>
    <n v="-457.67500000000001"/>
    <n v="-317.07400000000001"/>
    <n v="-259.86700000000002"/>
    <n v="-1164.6859999999999"/>
    <n v="3591.5930000000008"/>
    <n v="-1831.0229999999999"/>
    <n v="1760.5700000000008"/>
    <n v="-205.886"/>
    <n v="-233.46199999999999"/>
    <n v="1321.2220000000009"/>
    <n v="-1160.5680000000009"/>
    <n v="160.654"/>
    <n v="1941.9259999999999"/>
    <n v="606.02199999999993"/>
    <n v="2708.6019999999999"/>
    <n v="5386.5050000000001"/>
  </r>
  <r>
    <x v="9"/>
    <x v="4"/>
    <n v="156.142"/>
    <n v="6858.1580000000004"/>
    <n v="2115.7919999999999"/>
    <n v="-1762.5320000000002"/>
    <n v="-410.54899999999998"/>
    <n v="-224.88799999999998"/>
    <n v="-2376.9480000000003"/>
    <n v="4199.0330000000004"/>
    <n v="-2393.8139999999999"/>
    <n v="1805.2190000000005"/>
    <n v="-268.10399999999998"/>
    <n v="-260.22399999999999"/>
    <n v="1276.8910000000005"/>
    <n v="-185.76800000000048"/>
    <n v="1091.123"/>
    <n v="2516.3809999999999"/>
    <n v="970.90599999999995"/>
    <n v="4578.41"/>
    <n v="6466.1639999999998"/>
  </r>
  <r>
    <x v="9"/>
    <x v="5"/>
    <n v="171.05166666666668"/>
    <n v="7958.3759999999993"/>
    <n v="3096.694"/>
    <n v="-2070.0590000000002"/>
    <n v="-495.39499999999998"/>
    <n v="-200.53899999999999"/>
    <n v="-3367.0390000000002"/>
    <n v="4922.0379999999968"/>
    <n v="-3024.5140000000001"/>
    <n v="1897.5239999999967"/>
    <n v="-263.25400000000002"/>
    <n v="-360.00599999999997"/>
    <n v="1274.2639999999969"/>
    <n v="-703.98499999999694"/>
    <n v="570.279"/>
    <n v="3169.9029999999998"/>
    <n v="1496.5950000000003"/>
    <n v="5236.777"/>
    <n v="6941.19"/>
  </r>
  <r>
    <x v="9"/>
    <x v="6"/>
    <n v="187.98833333333332"/>
    <n v="10755.646000000001"/>
    <n v="3643.7489999999998"/>
    <n v="-2559.2660000000001"/>
    <n v="-623.94399999999996"/>
    <n v="-236.001"/>
    <n v="-2997.152"/>
    <n v="7983.0320000000011"/>
    <n v="-3498.01"/>
    <n v="4485.0220000000008"/>
    <n v="-284.59899999999999"/>
    <n v="-294.73899999999998"/>
    <n v="3905.6840000000007"/>
    <n v="-1708.5750000000007"/>
    <n v="2197.1089999999999"/>
    <n v="3600.9760000000001"/>
    <n v="1531.3289999999997"/>
    <n v="7329.4139999999998"/>
    <n v="6863.8909999999996"/>
  </r>
  <r>
    <x v="9"/>
    <x v="7"/>
    <n v="219.12833333333333"/>
    <n v="12592.914999999999"/>
    <n v="4046.3159999999998"/>
    <n v="-3122.203"/>
    <n v="-757.56399999999996"/>
    <n v="-232.87800000000001"/>
    <n v="-4528.0700000000006"/>
    <n v="7998.5159999999987"/>
    <n v="-3881.72"/>
    <n v="4116.7959999999985"/>
    <n v="-258.62799999999999"/>
    <n v="-342.74099999999999"/>
    <n v="3515.4269999999983"/>
    <n v="-599.93999999999824"/>
    <n v="2915.4870000000001"/>
    <n v="3997.0410000000002"/>
    <n v="1736.6270000000004"/>
    <n v="8649.1550000000007"/>
    <n v="7722.7690000000002"/>
  </r>
  <r>
    <x v="9"/>
    <x v="8"/>
    <n v="211.17833333333334"/>
    <n v="6403.2579999999998"/>
    <n v="2253.1350000000002"/>
    <n v="-2430.4499999999998"/>
    <n v="-421.74400000000003"/>
    <n v="-164.24"/>
    <n v="-2752.5219999999999"/>
    <n v="2887.4370000000008"/>
    <n v="-3190.4430000000002"/>
    <n v="-303.0059999999994"/>
    <n v="-279.23399999999998"/>
    <n v="-41.107999999999997"/>
    <n v="-623.34799999999927"/>
    <n v="-3901.1670000000013"/>
    <n v="-4524.5150000000003"/>
    <n v="3313.6439999999998"/>
    <n v="4806.0360000000001"/>
    <n v="3595.165"/>
    <n v="4875.2830000000004"/>
  </r>
  <r>
    <x v="9"/>
    <x v="9"/>
    <n v="207.05"/>
    <n v="5496.7430000000004"/>
    <n v="1966.259"/>
    <n v="-2018.1189999999999"/>
    <n v="-349.71"/>
    <n v="-135.61000000000001"/>
    <n v="-2007.635"/>
    <n v="2951.9280000000008"/>
    <n v="-3434.2840000000001"/>
    <n v="-482.35599999999931"/>
    <n v="-313.34100000000001"/>
    <n v="39.292999999999999"/>
    <n v="-756.40399999999931"/>
    <n v="-340.28200000000061"/>
    <n v="-1096.6859999999999"/>
    <n v="3553.4169999999999"/>
    <n v="-97.667999999999665"/>
    <n v="2359.0630000000001"/>
    <n v="6465.2839999999997"/>
  </r>
  <r>
    <x v="10"/>
    <x v="0"/>
    <m/>
    <m/>
    <m/>
    <m/>
    <m/>
    <m/>
    <m/>
    <n v="0"/>
    <m/>
    <n v="0"/>
    <m/>
    <m/>
    <n v="0"/>
    <n v="0"/>
    <m/>
    <m/>
    <n v="0"/>
    <m/>
    <m/>
  </r>
  <r>
    <x v="10"/>
    <x v="1"/>
    <m/>
    <m/>
    <m/>
    <m/>
    <m/>
    <m/>
    <m/>
    <n v="0"/>
    <m/>
    <n v="0"/>
    <m/>
    <m/>
    <n v="0"/>
    <n v="0"/>
    <m/>
    <m/>
    <n v="0"/>
    <m/>
    <m/>
  </r>
  <r>
    <x v="10"/>
    <x v="2"/>
    <n v="149"/>
    <n v="6880"/>
    <n v="0"/>
    <n v="-1805"/>
    <n v="0"/>
    <n v="-1655"/>
    <n v="-255"/>
    <n v="3165"/>
    <n v="-2113"/>
    <n v="1052"/>
    <n v="-366"/>
    <n v="-1177"/>
    <n v="-491"/>
    <n v="1298"/>
    <n v="807"/>
    <n v="2200"/>
    <n v="39"/>
    <n v="3046"/>
    <n v="3118"/>
  </r>
  <r>
    <x v="10"/>
    <x v="3"/>
    <n v="155.83333333333331"/>
    <n v="8608"/>
    <n v="0"/>
    <n v="-1924"/>
    <n v="0"/>
    <n v="-1683"/>
    <n v="-281"/>
    <n v="4720"/>
    <n v="-2222"/>
    <n v="2498"/>
    <n v="-366"/>
    <n v="-1450"/>
    <n v="682"/>
    <n v="1456"/>
    <n v="2138"/>
    <n v="2317"/>
    <n v="75"/>
    <n v="4530"/>
    <n v="6471"/>
  </r>
  <r>
    <x v="10"/>
    <x v="4"/>
    <n v="137.66666666666666"/>
    <n v="10586"/>
    <n v="0"/>
    <n v="-1876"/>
    <n v="-476"/>
    <n v="-613"/>
    <n v="-313"/>
    <n v="7308"/>
    <n v="-2305"/>
    <n v="5003"/>
    <n v="-396"/>
    <n v="-1384"/>
    <n v="3223"/>
    <n v="-1547"/>
    <n v="1676"/>
    <n v="2373"/>
    <n v="935"/>
    <n v="4984"/>
    <n v="8336"/>
  </r>
  <r>
    <x v="10"/>
    <x v="5"/>
    <n v="150.66666666666669"/>
    <n v="12196"/>
    <n v="0"/>
    <n v="-2202"/>
    <n v="-550"/>
    <n v="-613"/>
    <n v="-314"/>
    <n v="8517"/>
    <n v="-2853"/>
    <n v="5664"/>
    <n v="-447"/>
    <n v="-1822"/>
    <n v="3395"/>
    <n v="-1332"/>
    <n v="2063"/>
    <n v="2922"/>
    <n v="675"/>
    <n v="5660"/>
    <n v="8861"/>
  </r>
  <r>
    <x v="10"/>
    <x v="6"/>
    <n v="124.66666666666667"/>
    <n v="11849"/>
    <n v="0"/>
    <n v="-1996"/>
    <n v="-372"/>
    <n v="-1031"/>
    <n v="-362"/>
    <n v="8088"/>
    <n v="-2671"/>
    <n v="5417"/>
    <n v="-466"/>
    <n v="-1353"/>
    <n v="3598"/>
    <n v="1624"/>
    <n v="5222"/>
    <n v="2487"/>
    <n v="-2611"/>
    <n v="5098"/>
    <n v="6766"/>
  </r>
  <r>
    <x v="10"/>
    <x v="7"/>
    <n v="121.83333333333333"/>
    <n v="10702"/>
    <n v="0"/>
    <n v="-1815"/>
    <n v="-275"/>
    <n v="-840"/>
    <n v="-537"/>
    <n v="7235"/>
    <n v="-3140"/>
    <n v="4095"/>
    <n v="-397"/>
    <n v="-455"/>
    <n v="3243"/>
    <n v="-869"/>
    <n v="2374"/>
    <n v="3224"/>
    <n v="-1141"/>
    <n v="4457"/>
    <n v="5578"/>
  </r>
  <r>
    <x v="10"/>
    <x v="8"/>
    <n v="139"/>
    <n v="6554"/>
    <n v="0"/>
    <n v="-1764"/>
    <n v="-146"/>
    <n v="-881"/>
    <n v="-766"/>
    <n v="2997"/>
    <n v="-3852"/>
    <n v="-855"/>
    <n v="-376"/>
    <n v="-140"/>
    <n v="-1371"/>
    <n v="-1636"/>
    <n v="-3007"/>
    <n v="3955"/>
    <n v="1033"/>
    <n v="1981"/>
    <n v="4193"/>
  </r>
  <r>
    <x v="10"/>
    <x v="9"/>
    <n v="120"/>
    <n v="4669"/>
    <n v="0"/>
    <n v="-1697"/>
    <n v="-101"/>
    <n v="-1442"/>
    <n v="-713"/>
    <n v="716"/>
    <n v="-3132"/>
    <n v="-2416"/>
    <n v="-380"/>
    <n v="132"/>
    <n v="-2664"/>
    <n v="-3412"/>
    <n v="-6076"/>
    <n v="3244"/>
    <n v="3627"/>
    <n v="795"/>
    <n v="1690"/>
  </r>
  <r>
    <x v="11"/>
    <x v="0"/>
    <m/>
    <m/>
    <m/>
    <m/>
    <m/>
    <m/>
    <m/>
    <n v="0"/>
    <m/>
    <n v="0"/>
    <m/>
    <m/>
    <n v="0"/>
    <n v="0"/>
    <m/>
    <m/>
    <n v="0"/>
    <m/>
    <m/>
  </r>
  <r>
    <x v="11"/>
    <x v="1"/>
    <m/>
    <m/>
    <m/>
    <m/>
    <m/>
    <m/>
    <m/>
    <n v="0"/>
    <m/>
    <n v="0"/>
    <m/>
    <m/>
    <n v="0"/>
    <n v="0"/>
    <m/>
    <m/>
    <n v="0"/>
    <m/>
    <m/>
  </r>
  <r>
    <x v="11"/>
    <x v="2"/>
    <n v="149"/>
    <n v="4306"/>
    <n v="4159"/>
    <n v="-1694"/>
    <n v="0"/>
    <n v="-307"/>
    <n v="-451"/>
    <n v="6013"/>
    <n v="-1860"/>
    <n v="4153"/>
    <n v="-262"/>
    <n v="-1663"/>
    <n v="2228"/>
    <n v="-765"/>
    <n v="1463"/>
    <n v="1934"/>
    <n v="1871"/>
    <n v="5268"/>
    <n v="3514"/>
  </r>
  <r>
    <x v="11"/>
    <x v="3"/>
    <n v="150"/>
    <n v="5302"/>
    <n v="6332"/>
    <n v="-1976"/>
    <n v="0"/>
    <n v="-498"/>
    <n v="-491"/>
    <n v="8669"/>
    <n v="-2405"/>
    <n v="6264"/>
    <n v="-375"/>
    <n v="-2155"/>
    <n v="3734"/>
    <n v="-1166"/>
    <n v="2568"/>
    <n v="2056"/>
    <n v="1246"/>
    <n v="5870"/>
    <n v="3812"/>
  </r>
  <r>
    <x v="11"/>
    <x v="4"/>
    <n v="145"/>
    <n v="5635"/>
    <n v="3919"/>
    <n v="-2518"/>
    <n v="0"/>
    <n v="-641"/>
    <n v="-4561"/>
    <n v="1834"/>
    <n v="-2465"/>
    <n v="-631"/>
    <n v="-228"/>
    <n v="-2893"/>
    <n v="-3752"/>
    <n v="6698"/>
    <n v="2946"/>
    <n v="2263"/>
    <n v="1315"/>
    <n v="6524"/>
    <n v="7140"/>
  </r>
  <r>
    <x v="11"/>
    <x v="5"/>
    <n v="172"/>
    <n v="8004"/>
    <n v="2729"/>
    <n v="-2739"/>
    <n v="0"/>
    <n v="-706"/>
    <n v="-3443"/>
    <n v="3845"/>
    <n v="-2762"/>
    <n v="1083"/>
    <n v="-244"/>
    <n v="-4974"/>
    <n v="-4135"/>
    <n v="5717"/>
    <n v="1582"/>
    <n v="2477"/>
    <n v="-42"/>
    <n v="4017"/>
    <n v="6647"/>
  </r>
  <r>
    <x v="11"/>
    <x v="6"/>
    <n v="177"/>
    <n v="8860"/>
    <n v="2079"/>
    <n v="-3223"/>
    <n v="0"/>
    <n v="-998"/>
    <n v="-2735"/>
    <n v="3983"/>
    <n v="-2819"/>
    <n v="1164"/>
    <n v="-319"/>
    <n v="-3904"/>
    <n v="-3059"/>
    <n v="4812"/>
    <n v="1753"/>
    <n v="2500"/>
    <n v="1017"/>
    <n v="5270"/>
    <n v="5451"/>
  </r>
  <r>
    <x v="11"/>
    <x v="7"/>
    <n v="167"/>
    <n v="7896"/>
    <n v="2110"/>
    <n v="-3295"/>
    <n v="0"/>
    <n v="-798"/>
    <n v="-2759"/>
    <n v="3154"/>
    <n v="-3002"/>
    <n v="152"/>
    <n v="-309"/>
    <n v="-1679"/>
    <n v="-1836"/>
    <n v="4882"/>
    <n v="3046"/>
    <n v="2861"/>
    <n v="-420"/>
    <n v="5487"/>
    <n v="6105"/>
  </r>
  <r>
    <x v="11"/>
    <x v="8"/>
    <n v="157"/>
    <n v="4443"/>
    <n v="571"/>
    <n v="-2271"/>
    <n v="0"/>
    <n v="-1318"/>
    <n v="-1159"/>
    <n v="266"/>
    <n v="-3284"/>
    <n v="-3018"/>
    <n v="-358"/>
    <n v="-171"/>
    <n v="-3547"/>
    <n v="1343"/>
    <n v="-2204"/>
    <n v="2957"/>
    <n v="812"/>
    <n v="1565"/>
    <n v="2845"/>
  </r>
  <r>
    <x v="11"/>
    <x v="9"/>
    <n v="144"/>
    <n v="3306"/>
    <n v="278"/>
    <n v="-1784"/>
    <n v="0"/>
    <n v="-330"/>
    <n v="-766"/>
    <n v="704"/>
    <n v="-2393"/>
    <n v="-1689"/>
    <n v="-402"/>
    <n v="-84"/>
    <n v="-2175"/>
    <n v="35"/>
    <n v="-2140"/>
    <n v="2395"/>
    <n v="818"/>
    <n v="1073"/>
    <n v="2113"/>
  </r>
  <r>
    <x v="12"/>
    <x v="0"/>
    <n v="207.5"/>
    <m/>
    <m/>
    <n v="0"/>
    <n v="0"/>
    <n v="0"/>
    <n v="0"/>
    <n v="0"/>
    <m/>
    <n v="0"/>
    <n v="0"/>
    <n v="0"/>
    <n v="0"/>
    <n v="0"/>
    <m/>
    <n v="0"/>
    <n v="0"/>
    <m/>
    <m/>
  </r>
  <r>
    <x v="12"/>
    <x v="1"/>
    <n v="222.16666666666669"/>
    <m/>
    <m/>
    <n v="0"/>
    <n v="0"/>
    <n v="0"/>
    <n v="0"/>
    <n v="0"/>
    <m/>
    <n v="0"/>
    <n v="0"/>
    <n v="0"/>
    <n v="0"/>
    <n v="0"/>
    <m/>
    <n v="0"/>
    <n v="0"/>
    <m/>
    <m/>
  </r>
  <r>
    <x v="12"/>
    <x v="2"/>
    <n v="224.33333333333331"/>
    <n v="11009"/>
    <n v="1016"/>
    <n v="-2842"/>
    <n v="-413"/>
    <n v="-254"/>
    <n v="-1300"/>
    <n v="7216"/>
    <n v="-2258"/>
    <n v="4958"/>
    <n v="-164"/>
    <n v="-1400"/>
    <n v="3394"/>
    <n v="-428"/>
    <n v="2966"/>
    <n v="2258"/>
    <n v="632"/>
    <n v="5856"/>
    <n v="3463"/>
  </r>
  <r>
    <x v="12"/>
    <x v="3"/>
    <n v="258.83333333333331"/>
    <n v="14276"/>
    <n v="1471"/>
    <n v="-3277"/>
    <n v="-472"/>
    <n v="-262"/>
    <n v="-1396"/>
    <n v="10340"/>
    <n v="-2668"/>
    <n v="7672"/>
    <n v="-161"/>
    <n v="-2400"/>
    <n v="5111"/>
    <n v="-509"/>
    <n v="4602"/>
    <n v="2668"/>
    <n v="2086"/>
    <n v="9356"/>
    <n v="7836"/>
  </r>
  <r>
    <x v="12"/>
    <x v="4"/>
    <n v="267.5"/>
    <n v="18419"/>
    <n v="1447"/>
    <n v="-4266"/>
    <n v="-590"/>
    <n v="-258"/>
    <n v="-1523"/>
    <n v="13229"/>
    <n v="-3064"/>
    <n v="10165"/>
    <n v="-315"/>
    <n v="-2900"/>
    <n v="6950"/>
    <n v="-179"/>
    <n v="6771"/>
    <n v="3064"/>
    <n v="2471"/>
    <n v="12306"/>
    <n v="10857"/>
  </r>
  <r>
    <x v="12"/>
    <x v="5"/>
    <n v="279.33333333333331"/>
    <n v="14997"/>
    <n v="1164"/>
    <n v="-3701"/>
    <n v="-504"/>
    <n v="-197"/>
    <n v="-1366"/>
    <n v="10393"/>
    <n v="-3065"/>
    <n v="7328"/>
    <n v="-190"/>
    <n v="-2300"/>
    <n v="4838"/>
    <n v="-240"/>
    <n v="4598"/>
    <n v="3065"/>
    <n v="1387"/>
    <n v="9050"/>
    <n v="8014"/>
  </r>
  <r>
    <x v="12"/>
    <x v="6"/>
    <n v="278.33333333333331"/>
    <n v="15052"/>
    <n v="1174"/>
    <n v="-3668"/>
    <n v="-550"/>
    <n v="-140"/>
    <n v="-1544"/>
    <n v="10324"/>
    <n v="-3676"/>
    <n v="6648"/>
    <n v="-375"/>
    <n v="-1800"/>
    <n v="4473"/>
    <n v="1430"/>
    <n v="5903"/>
    <n v="4203"/>
    <n v="123"/>
    <n v="10229"/>
    <n v="5982"/>
  </r>
  <r>
    <x v="12"/>
    <x v="7"/>
    <n v="218.16666666666666"/>
    <n v="13910"/>
    <n v="1373"/>
    <n v="-3796"/>
    <n v="-534"/>
    <n v="-150"/>
    <n v="-1503"/>
    <n v="9300"/>
    <n v="-3701"/>
    <n v="5599"/>
    <n v="-399"/>
    <n v="-2900"/>
    <n v="2300"/>
    <n v="-1670"/>
    <n v="630"/>
    <n v="4261"/>
    <n v="3980"/>
    <n v="8871"/>
    <n v="8284"/>
  </r>
  <r>
    <x v="12"/>
    <x v="8"/>
    <n v="246"/>
    <n v="8304"/>
    <n v="891"/>
    <n v="-3622"/>
    <n v="-323"/>
    <n v="-36"/>
    <n v="-1270"/>
    <n v="3944"/>
    <n v="-3886"/>
    <n v="58"/>
    <n v="-384"/>
    <n v="-1000"/>
    <n v="-1326"/>
    <n v="-6503"/>
    <n v="-7829"/>
    <n v="4544"/>
    <n v="6539"/>
    <n v="3254"/>
    <n v="4762"/>
  </r>
  <r>
    <x v="12"/>
    <x v="9"/>
    <n v="231"/>
    <n v="6337"/>
    <n v="684"/>
    <n v="-3137"/>
    <n v="-250"/>
    <n v="-62"/>
    <n v="-1330"/>
    <n v="2242"/>
    <n v="-3575"/>
    <n v="-1333"/>
    <n v="-376"/>
    <n v="-300"/>
    <n v="-2009"/>
    <n v="1435"/>
    <n v="-574"/>
    <n v="4268"/>
    <n v="-1175"/>
    <n v="2519"/>
    <n v="4662"/>
  </r>
  <r>
    <x v="13"/>
    <x v="0"/>
    <n v="41.372500000000002"/>
    <m/>
    <m/>
    <n v="0"/>
    <n v="0"/>
    <n v="0"/>
    <n v="0"/>
    <n v="0"/>
    <m/>
    <n v="0"/>
    <n v="0"/>
    <n v="0"/>
    <n v="0"/>
    <n v="0"/>
    <m/>
    <n v="0"/>
    <n v="0"/>
    <m/>
    <m/>
  </r>
  <r>
    <x v="13"/>
    <x v="1"/>
    <n v="44.673833333333334"/>
    <m/>
    <m/>
    <n v="0"/>
    <n v="0"/>
    <n v="0"/>
    <n v="0"/>
    <n v="0"/>
    <m/>
    <n v="0"/>
    <n v="0"/>
    <n v="0"/>
    <n v="0"/>
    <n v="0"/>
    <m/>
    <n v="0"/>
    <n v="0"/>
    <m/>
    <m/>
  </r>
  <r>
    <x v="13"/>
    <x v="2"/>
    <n v="45.261833333333328"/>
    <n v="1402.4359999999999"/>
    <n v="0"/>
    <n v="-345.88499999999999"/>
    <n v="-98.370999999999995"/>
    <n v="-79.094999999999999"/>
    <n v="-130.863"/>
    <n v="748.22199999999998"/>
    <n v="-564.149"/>
    <n v="184.07299999999998"/>
    <n v="-183.00399999999999"/>
    <n v="11.703999999999999"/>
    <n v="12.772999999999987"/>
    <n v="-55.039999999999992"/>
    <n v="-42.267000000000003"/>
    <n v="564.149"/>
    <n v="21.177000000000021"/>
    <n v="543.05899999999997"/>
    <n v="414.20600000000002"/>
  </r>
  <r>
    <x v="13"/>
    <x v="3"/>
    <n v="44.765999999999998"/>
    <n v="1718.297"/>
    <n v="0"/>
    <n v="-364.76400000000001"/>
    <n v="-112.14100000000001"/>
    <n v="-189.59700000000001"/>
    <n v="-164.33199999999999"/>
    <n v="887.46299999999985"/>
    <n v="499.85599999999999"/>
    <n v="1387.319"/>
    <n v="-198.32599999999999"/>
    <n v="-9.8640000000000008"/>
    <n v="1179.1289999999999"/>
    <n v="-533.1339999999999"/>
    <n v="645.995"/>
    <n v="-499.85599999999999"/>
    <n v="1138.884"/>
    <n v="1285.0229999999999"/>
    <n v="1092.2339999999999"/>
  </r>
  <r>
    <x v="13"/>
    <x v="4"/>
    <n v="48.582333333333331"/>
    <n v="1985"/>
    <n v="0"/>
    <n v="-396.96100000000001"/>
    <n v="-139.42500000000001"/>
    <n v="-80.691000000000003"/>
    <n v="-189.98500000000001"/>
    <n v="1177.9380000000001"/>
    <n v="-607.40499999999997"/>
    <n v="570.53300000000013"/>
    <n v="-194.96600000000001"/>
    <n v="-6.9480000000000004"/>
    <n v="368.61900000000014"/>
    <n v="513.29499999999985"/>
    <n v="881.91399999999999"/>
    <n v="607.40499999999997"/>
    <n v="40.394999999999982"/>
    <n v="1529.7139999999999"/>
    <n v="2153.9840000000004"/>
  </r>
  <r>
    <x v="13"/>
    <x v="5"/>
    <n v="60.769166666666663"/>
    <n v="2512"/>
    <n v="0"/>
    <n v="-532"/>
    <n v="-169"/>
    <n v="-97"/>
    <n v="-244"/>
    <n v="1470"/>
    <n v="-689"/>
    <n v="781"/>
    <n v="-215"/>
    <n v="-4.2590000000000003"/>
    <n v="561.74099999999999"/>
    <n v="-318.74099999999999"/>
    <n v="243"/>
    <n v="689"/>
    <n v="905"/>
    <n v="1837"/>
    <n v="2946.8919999999998"/>
  </r>
  <r>
    <x v="13"/>
    <x v="6"/>
    <n v="66.73566666666666"/>
    <n v="3088"/>
    <n v="0"/>
    <n v="-588"/>
    <n v="-192"/>
    <n v="-97"/>
    <n v="-296"/>
    <n v="1915"/>
    <n v="-889"/>
    <n v="1026"/>
    <n v="-194"/>
    <n v="-10.362"/>
    <n v="821.63800000000003"/>
    <n v="-1620.6379999999999"/>
    <n v="-799"/>
    <n v="889"/>
    <n v="2056"/>
    <n v="2146"/>
    <n v="2835.299"/>
  </r>
  <r>
    <x v="13"/>
    <x v="7"/>
    <n v="74.216333333333338"/>
    <n v="3599"/>
    <n v="0"/>
    <n v="-693"/>
    <n v="-220"/>
    <n v="-177"/>
    <n v="-333"/>
    <n v="2176"/>
    <n v="-1047"/>
    <n v="1129"/>
    <n v="-188"/>
    <n v="-4"/>
    <n v="937"/>
    <n v="-7"/>
    <n v="930"/>
    <n v="1047"/>
    <n v="389"/>
    <n v="2366"/>
    <n v="3575"/>
  </r>
  <r>
    <x v="13"/>
    <x v="8"/>
    <n v="77.066999999999993"/>
    <n v="2178"/>
    <n v="0"/>
    <n v="-717"/>
    <n v="-145"/>
    <n v="-99"/>
    <n v="-327"/>
    <n v="890"/>
    <n v="-1385"/>
    <n v="-495"/>
    <n v="-191"/>
    <n v="-23"/>
    <n v="-709"/>
    <n v="436"/>
    <n v="-273"/>
    <n v="1385"/>
    <n v="136"/>
    <n v="1248"/>
    <n v="2073"/>
  </r>
  <r>
    <x v="13"/>
    <x v="9"/>
    <n v="88.1"/>
    <n v="2418"/>
    <n v="0"/>
    <n v="-581"/>
    <n v="-136"/>
    <n v="-119"/>
    <n v="-325"/>
    <n v="1257"/>
    <n v="-1480"/>
    <n v="-223"/>
    <n v="-211"/>
    <n v="24"/>
    <n v="-410"/>
    <n v="-146"/>
    <n v="-556"/>
    <n v="1480"/>
    <n v="574"/>
    <n v="1498"/>
    <n v="2388"/>
  </r>
  <r>
    <x v="14"/>
    <x v="0"/>
    <n v="19.608333333333334"/>
    <m/>
    <m/>
    <n v="0"/>
    <n v="0"/>
    <n v="0"/>
    <n v="0"/>
    <n v="0"/>
    <m/>
    <n v="0"/>
    <n v="0"/>
    <n v="0"/>
    <n v="0"/>
    <n v="0"/>
    <m/>
    <n v="0"/>
    <n v="0"/>
    <m/>
    <m/>
  </r>
  <r>
    <x v="14"/>
    <x v="1"/>
    <n v="23.524833333333333"/>
    <m/>
    <m/>
    <n v="0"/>
    <n v="0"/>
    <n v="0"/>
    <n v="0"/>
    <n v="0"/>
    <m/>
    <n v="0"/>
    <n v="0"/>
    <n v="0"/>
    <n v="0"/>
    <n v="0"/>
    <m/>
    <n v="0"/>
    <n v="0"/>
    <m/>
    <m/>
  </r>
  <r>
    <x v="14"/>
    <x v="2"/>
    <n v="26.518833333333333"/>
    <n v="751.74900000000002"/>
    <n v="0"/>
    <n v="-98.251000000000005"/>
    <n v="-25.536000000000001"/>
    <n v="-44.276000000000003"/>
    <n v="-115.319"/>
    <n v="468.36700000000002"/>
    <n v="-267.14800000000002"/>
    <n v="201.21899999999999"/>
    <n v="-108.685"/>
    <n v="-0.17"/>
    <n v="92.36399999999999"/>
    <n v="-146.23399999999998"/>
    <n v="-53.87"/>
    <n v="267.14800000000002"/>
    <n v="340.92899999999997"/>
    <n v="554.20699999999999"/>
    <n v="814.24400000000003"/>
  </r>
  <r>
    <x v="14"/>
    <x v="3"/>
    <n v="30.13133333333333"/>
    <n v="823.29"/>
    <n v="0"/>
    <n v="-94.274000000000001"/>
    <n v="-26.106999999999999"/>
    <n v="-60.506"/>
    <n v="-140.571"/>
    <n v="501.83199999999999"/>
    <n v="-275.238"/>
    <n v="226.59399999999999"/>
    <n v="-116.76600000000001"/>
    <n v="1.359"/>
    <n v="111.18699999999998"/>
    <n v="-350.44299999999998"/>
    <n v="-239.256"/>
    <n v="275.238"/>
    <n v="397.904"/>
    <n v="433.88600000000002"/>
    <n v="1211.8779999999999"/>
  </r>
  <r>
    <x v="14"/>
    <x v="4"/>
    <n v="33.707833333333333"/>
    <n v="1173.2660000000001"/>
    <n v="0"/>
    <n v="-112.97199999999999"/>
    <n v="-27.666599999999999"/>
    <n v="-81.367000000000004"/>
    <n v="-151.191"/>
    <n v="800.06940000000009"/>
    <n v="-341.221"/>
    <n v="458.84840000000008"/>
    <n v="-133.10300000000001"/>
    <n v="-0.67500000000000004"/>
    <n v="325.07040000000006"/>
    <n v="-267.04440000000005"/>
    <n v="58.026000000000003"/>
    <n v="341.221"/>
    <n v="210.95300000000003"/>
    <n v="610.20000000000005"/>
    <n v="1616.6010000000001"/>
  </r>
  <r>
    <x v="14"/>
    <x v="5"/>
    <n v="45.912500000000001"/>
    <n v="1351.694"/>
    <n v="0"/>
    <n v="-308.35000000000002"/>
    <n v="-67.12"/>
    <n v="-69.807000000000002"/>
    <n v="-173.81299999999999"/>
    <n v="732.60400000000004"/>
    <n v="-445.22800000000001"/>
    <n v="287.37600000000003"/>
    <n v="-153.249"/>
    <n v="-0.38600000000000001"/>
    <n v="133.74100000000004"/>
    <n v="-120.73900000000005"/>
    <n v="13.002000000000001"/>
    <n v="445.22800000000001"/>
    <n v="188.86900000000003"/>
    <n v="647.09900000000005"/>
    <n v="1716.6120000000001"/>
  </r>
  <r>
    <x v="14"/>
    <x v="6"/>
    <n v="57.168999999999997"/>
    <n v="1715.6759999999999"/>
    <n v="0"/>
    <n v="-384.33300000000003"/>
    <n v="-45.24"/>
    <n v="-64.409000000000006"/>
    <n v="-422.95699999999999"/>
    <n v="798.73699999999974"/>
    <n v="-492.39699999999999"/>
    <n v="306.33999999999975"/>
    <n v="-176.55"/>
    <n v="0.34699999999999998"/>
    <n v="130.13699999999974"/>
    <n v="-14.41499999999975"/>
    <n v="115.72199999999999"/>
    <n v="492.39699999999999"/>
    <n v="135.41899999999998"/>
    <n v="743.53800000000001"/>
    <n v="1453.816"/>
  </r>
  <r>
    <x v="14"/>
    <x v="7"/>
    <n v="70.712000000000003"/>
    <n v="1911.989"/>
    <n v="0"/>
    <n v="-475.77199999999999"/>
    <n v="-44.555"/>
    <n v="-63.548000000000002"/>
    <n v="-343.40599999999995"/>
    <n v="984.70800000000008"/>
    <n v="-551.03200000000004"/>
    <n v="433.67600000000004"/>
    <n v="-167.977"/>
    <n v="0.156"/>
    <n v="265.85500000000008"/>
    <n v="368.52699999999987"/>
    <n v="634.38199999999995"/>
    <n v="551.03200000000004"/>
    <n v="-211.06100000000004"/>
    <n v="974.35299999999995"/>
    <n v="2065.0549999999998"/>
  </r>
  <r>
    <x v="14"/>
    <x v="8"/>
    <n v="84.887999999999991"/>
    <n v="1089.644"/>
    <n v="0"/>
    <n v="-533.10199999999998"/>
    <n v="-33.86"/>
    <n v="-21.405999999999999"/>
    <n v="-309.88099999999997"/>
    <n v="191.39500000000004"/>
    <n v="-581.15499999999997"/>
    <n v="-389.75999999999993"/>
    <n v="-166.43899999999999"/>
    <n v="-0.1"/>
    <n v="-556.29899999999998"/>
    <n v="-157.38599999999997"/>
    <n v="-713.68499999999995"/>
    <n v="581.15499999999997"/>
    <n v="823.93200000000002"/>
    <n v="691.40200000000004"/>
    <n v="925.72500000000002"/>
  </r>
  <r>
    <x v="14"/>
    <x v="9"/>
    <n v="94.07"/>
    <n v="1197.2149999999999"/>
    <n v="0"/>
    <n v="-662.59699999999998"/>
    <n v="-25.443000000000001"/>
    <n v="-32.325000000000003"/>
    <n v="-353.34799999999996"/>
    <n v="123.50200000000001"/>
    <n v="-524.10199999999998"/>
    <n v="-400.59999999999997"/>
    <n v="-168.21299999999999"/>
    <n v="0.10199999999999999"/>
    <n v="-568.71100000000001"/>
    <n v="1090.0990000000002"/>
    <n v="521.38800000000003"/>
    <n v="524.10199999999998"/>
    <n v="-658.42200000000003"/>
    <n v="387.06799999999998"/>
    <n v="3701.1529999999998"/>
  </r>
  <r>
    <x v="15"/>
    <x v="0"/>
    <n v="18.927500000000002"/>
    <m/>
    <m/>
    <n v="0"/>
    <n v="0"/>
    <n v="0"/>
    <n v="0"/>
    <n v="0"/>
    <m/>
    <n v="0"/>
    <n v="0"/>
    <n v="0"/>
    <n v="0"/>
    <n v="0"/>
    <m/>
    <n v="0"/>
    <n v="0"/>
    <m/>
    <m/>
  </r>
  <r>
    <x v="15"/>
    <x v="1"/>
    <n v="32.42916666666666"/>
    <m/>
    <m/>
    <n v="0"/>
    <n v="0"/>
    <n v="0"/>
    <n v="0"/>
    <n v="0"/>
    <m/>
    <n v="0"/>
    <n v="0"/>
    <n v="0"/>
    <n v="0"/>
    <n v="0"/>
    <m/>
    <n v="0"/>
    <n v="0"/>
    <m/>
    <m/>
  </r>
  <r>
    <x v="15"/>
    <x v="2"/>
    <n v="50.073666666666668"/>
    <n v="1582.596"/>
    <n v="562.94399999999996"/>
    <n v="-561.00300000000004"/>
    <n v="-37.28"/>
    <n v="0"/>
    <n v="-122.61799999999999"/>
    <n v="1424.6389999999999"/>
    <n v="-474.01400000000001"/>
    <n v="950.62499999999989"/>
    <n v="-16.452999999999999"/>
    <n v="64.968999999999994"/>
    <n v="999.14099999999985"/>
    <n v="-1034.9329999999998"/>
    <n v="-35.792000000000002"/>
    <n v="493.65800000000002"/>
    <n v="901.51"/>
    <n v="1359.376"/>
    <n v="1529.876"/>
  </r>
  <r>
    <x v="15"/>
    <x v="3"/>
    <n v="67.443666666666672"/>
    <n v="1871.835"/>
    <n v="738.82799999999997"/>
    <n v="-376.93900000000002"/>
    <n v="-50.607999999999997"/>
    <n v="0"/>
    <n v="-145.56299999999999"/>
    <n v="2037.5529999999999"/>
    <n v="-561.00300000000004"/>
    <n v="1476.5499999999997"/>
    <n v="-24.048999999999999"/>
    <n v="-11.939"/>
    <n v="1440.5619999999997"/>
    <n v="-836.7289999999997"/>
    <n v="603.83299999999997"/>
    <n v="590.33199999999999"/>
    <n v="448.42000000000007"/>
    <n v="1642.585"/>
    <n v="1781.424"/>
  </r>
  <r>
    <x v="15"/>
    <x v="4"/>
    <n v="83.335833333333326"/>
    <n v="2088.7629999999999"/>
    <n v="864.096"/>
    <n v="-469.15300000000002"/>
    <n v="-65.518000000000001"/>
    <n v="0"/>
    <n v="-158.041"/>
    <n v="2260.1469999999999"/>
    <n v="-666.10699999999997"/>
    <n v="1594.04"/>
    <n v="-19.158999999999999"/>
    <n v="-4.1980000000000004"/>
    <n v="1570.6829999999998"/>
    <n v="-932.91399999999976"/>
    <n v="637.76900000000001"/>
    <n v="704.51099999999997"/>
    <n v="397.53700000000003"/>
    <n v="1739.817"/>
    <n v="1960.106"/>
  </r>
  <r>
    <x v="15"/>
    <x v="5"/>
    <n v="94.163666666666671"/>
    <n v="1965"/>
    <n v="765"/>
    <n v="-505"/>
    <n v="-68"/>
    <n v="0"/>
    <n v="-175"/>
    <n v="1982"/>
    <n v="-765"/>
    <n v="1217"/>
    <n v="-97"/>
    <n v="-0.81799999999999995"/>
    <n v="1119.182"/>
    <n v="-1826.182"/>
    <n v="-707"/>
    <n v="811"/>
    <n v="1550"/>
    <n v="1654"/>
    <n v="1911"/>
  </r>
  <r>
    <x v="15"/>
    <x v="6"/>
    <n v="109.47199999999999"/>
    <n v="2404"/>
    <n v="973"/>
    <n v="-629"/>
    <n v="-79"/>
    <n v="0"/>
    <n v="-191"/>
    <n v="2478"/>
    <n v="-735"/>
    <n v="1743"/>
    <n v="-104"/>
    <n v="-18.786999999999999"/>
    <n v="1620.213"/>
    <n v="-916.21299999999997"/>
    <n v="704"/>
    <n v="787"/>
    <n v="418"/>
    <n v="1909"/>
    <n v="2023"/>
  </r>
  <r>
    <x v="15"/>
    <x v="7"/>
    <n v="127.996"/>
    <n v="2862"/>
    <n v="1188"/>
    <n v="-776"/>
    <n v="-95"/>
    <n v="0"/>
    <n v="-221"/>
    <n v="2958"/>
    <n v="-884"/>
    <n v="2074"/>
    <n v="-114"/>
    <n v="-28"/>
    <n v="1932"/>
    <n v="-1008"/>
    <n v="924"/>
    <n v="942"/>
    <n v="469"/>
    <n v="2335"/>
    <n v="7221"/>
  </r>
  <r>
    <x v="15"/>
    <x v="8"/>
    <n v="162.80033333333333"/>
    <n v="2074"/>
    <n v="1038"/>
    <n v="-989"/>
    <n v="-110"/>
    <n v="0"/>
    <n v="-246"/>
    <n v="1767"/>
    <n v="-1028"/>
    <n v="739"/>
    <n v="-260"/>
    <n v="6"/>
    <n v="485"/>
    <n v="-5041"/>
    <n v="-4556"/>
    <n v="1092"/>
    <n v="5044"/>
    <n v="1580"/>
    <n v="2240"/>
  </r>
  <r>
    <x v="15"/>
    <x v="9"/>
    <n v="145.89733333333299"/>
    <n v="1413"/>
    <n v="1002"/>
    <n v="-839"/>
    <n v="-93"/>
    <n v="0"/>
    <n v="-247"/>
    <n v="1236"/>
    <n v="-378"/>
    <n v="858"/>
    <n v="-240"/>
    <n v="15"/>
    <n v="633"/>
    <n v="-3276"/>
    <n v="-2643"/>
    <n v="436"/>
    <n v="2705"/>
    <n v="498"/>
    <n v="621"/>
  </r>
</pivotCacheRecords>
</file>

<file path=xl/pivotCache/pivotCacheRecords2.xml><?xml version="1.0" encoding="utf-8"?>
<pivotCacheRecords xmlns="http://schemas.openxmlformats.org/spreadsheetml/2006/main" xmlns:r="http://schemas.openxmlformats.org/officeDocument/2006/relationships" count="160">
  <r>
    <x v="0"/>
    <x v="0"/>
    <n v="0"/>
    <n v="0"/>
    <n v="0"/>
  </r>
  <r>
    <x v="0"/>
    <x v="1"/>
    <n v="0"/>
    <n v="0"/>
    <n v="170"/>
  </r>
  <r>
    <x v="0"/>
    <x v="2"/>
    <n v="3926"/>
    <n v="4660"/>
    <n v="176"/>
  </r>
  <r>
    <x v="0"/>
    <x v="3"/>
    <n v="5247"/>
    <n v="5086"/>
    <n v="180"/>
  </r>
  <r>
    <x v="0"/>
    <x v="4"/>
    <n v="2505"/>
    <n v="5641"/>
    <n v="181"/>
  </r>
  <r>
    <x v="0"/>
    <x v="5"/>
    <n v="8339"/>
    <n v="6367"/>
    <n v="181"/>
  </r>
  <r>
    <x v="0"/>
    <x v="6"/>
    <n v="8888"/>
    <n v="7486"/>
    <n v="274"/>
  </r>
  <r>
    <x v="0"/>
    <x v="7"/>
    <n v="8466"/>
    <n v="8712"/>
    <n v="505"/>
  </r>
  <r>
    <x v="0"/>
    <x v="8"/>
    <n v="-1877"/>
    <n v="5753"/>
    <n v="553"/>
  </r>
  <r>
    <x v="0"/>
    <x v="9"/>
    <n v="3000"/>
    <n v="5633"/>
    <n v="105"/>
  </r>
  <r>
    <x v="1"/>
    <x v="0"/>
    <n v="0"/>
    <n v="0"/>
    <n v="0"/>
  </r>
  <r>
    <x v="1"/>
    <x v="1"/>
    <n v="0"/>
    <n v="0"/>
    <n v="239"/>
  </r>
  <r>
    <x v="1"/>
    <x v="2"/>
    <n v="4224"/>
    <n v="3455"/>
    <n v="209"/>
  </r>
  <r>
    <x v="1"/>
    <x v="3"/>
    <n v="6726"/>
    <n v="15791"/>
    <n v="226"/>
  </r>
  <r>
    <x v="1"/>
    <x v="4"/>
    <n v="9953"/>
    <n v="9108"/>
    <n v="306"/>
  </r>
  <r>
    <x v="1"/>
    <x v="5"/>
    <n v="8504"/>
    <n v="12483"/>
    <n v="332"/>
  </r>
  <r>
    <x v="1"/>
    <x v="6"/>
    <n v="8685"/>
    <n v="9905"/>
    <n v="360"/>
  </r>
  <r>
    <x v="1"/>
    <x v="7"/>
    <n v="7957"/>
    <n v="11481"/>
    <n v="365"/>
  </r>
  <r>
    <x v="1"/>
    <x v="8"/>
    <n v="2667"/>
    <n v="4249"/>
    <n v="377"/>
  </r>
  <r>
    <x v="1"/>
    <x v="9"/>
    <n v="2430"/>
    <n v="1635"/>
    <n v="379"/>
  </r>
  <r>
    <x v="2"/>
    <x v="0"/>
    <n v="0"/>
    <n v="0"/>
    <n v="0"/>
  </r>
  <r>
    <x v="2"/>
    <x v="1"/>
    <n v="0"/>
    <n v="0"/>
    <n v="12"/>
  </r>
  <r>
    <x v="2"/>
    <x v="2"/>
    <n v="614.05200000000002"/>
    <n v="593.41100000000006"/>
    <n v="12"/>
  </r>
  <r>
    <x v="2"/>
    <x v="3"/>
    <n v="484.911"/>
    <n v="828.35500000000002"/>
    <n v="12"/>
  </r>
  <r>
    <x v="2"/>
    <x v="4"/>
    <n v="501.839"/>
    <n v="888.25299999999993"/>
    <n v="13"/>
  </r>
  <r>
    <x v="2"/>
    <x v="5"/>
    <n v="652.09299999999996"/>
    <n v="969.88400000000001"/>
    <n v="17"/>
  </r>
  <r>
    <x v="2"/>
    <x v="6"/>
    <n v="1024.5260000000001"/>
    <n v="1186.105"/>
    <n v="25"/>
  </r>
  <r>
    <x v="2"/>
    <x v="7"/>
    <n v="1236.4349999999999"/>
    <n v="1771.7330000000002"/>
    <n v="33"/>
  </r>
  <r>
    <x v="2"/>
    <x v="8"/>
    <n v="740.73699999999997"/>
    <n v="793.86300000000006"/>
    <n v="33"/>
  </r>
  <r>
    <x v="2"/>
    <x v="9"/>
    <n v="392.37700000000001"/>
    <n v="389.84399999999999"/>
    <n v="36"/>
  </r>
  <r>
    <x v="3"/>
    <x v="0"/>
    <n v="0"/>
    <n v="0"/>
    <n v="0"/>
  </r>
  <r>
    <x v="3"/>
    <x v="1"/>
    <n v="0"/>
    <n v="0"/>
    <n v="183"/>
  </r>
  <r>
    <x v="3"/>
    <x v="2"/>
    <n v="4356"/>
    <n v="6396"/>
    <n v="204"/>
  </r>
  <r>
    <x v="3"/>
    <x v="3"/>
    <n v="5117"/>
    <n v="12809"/>
    <n v="281"/>
  </r>
  <r>
    <x v="3"/>
    <x v="4"/>
    <n v="5903"/>
    <n v="11812"/>
    <n v="379"/>
  </r>
  <r>
    <x v="3"/>
    <x v="5"/>
    <n v="2837"/>
    <n v="11391"/>
    <n v="398"/>
  </r>
  <r>
    <x v="3"/>
    <x v="6"/>
    <n v="4614"/>
    <n v="5784"/>
    <n v="404"/>
  </r>
  <r>
    <x v="3"/>
    <x v="7"/>
    <n v="4634"/>
    <n v="5420"/>
    <n v="405"/>
  </r>
  <r>
    <x v="3"/>
    <x v="8"/>
    <n v="1234"/>
    <n v="3112"/>
    <n v="289"/>
  </r>
  <r>
    <x v="3"/>
    <x v="9"/>
    <n v="-204"/>
    <n v="1985"/>
    <n v="0"/>
  </r>
  <r>
    <x v="4"/>
    <x v="0"/>
    <n v="0"/>
    <n v="0"/>
    <n v="0"/>
  </r>
  <r>
    <x v="4"/>
    <x v="1"/>
    <n v="0"/>
    <n v="0"/>
    <n v="0"/>
  </r>
  <r>
    <x v="4"/>
    <x v="2"/>
    <n v="359.54599999999999"/>
    <n v="673.98"/>
    <n v="0"/>
  </r>
  <r>
    <x v="4"/>
    <x v="3"/>
    <n v="651.58199999999999"/>
    <n v="2370.7999999999997"/>
    <n v="0"/>
  </r>
  <r>
    <x v="4"/>
    <x v="4"/>
    <n v="1199.4580000000001"/>
    <n v="1818.1310000000003"/>
    <n v="0"/>
  </r>
  <r>
    <x v="4"/>
    <x v="5"/>
    <n v="1237.4780000000001"/>
    <n v="2803.1109999999999"/>
    <n v="0"/>
  </r>
  <r>
    <x v="4"/>
    <x v="6"/>
    <n v="1362.02"/>
    <n v="1853.1209999999999"/>
    <n v="0"/>
  </r>
  <r>
    <x v="4"/>
    <x v="7"/>
    <n v="1673.787"/>
    <n v="2934.3770000000004"/>
    <n v="0"/>
  </r>
  <r>
    <x v="4"/>
    <x v="8"/>
    <n v="1530.421"/>
    <n v="2102.3429999999998"/>
    <n v="0"/>
  </r>
  <r>
    <x v="4"/>
    <x v="9"/>
    <n v="1384.4480000000001"/>
    <n v="1172.9870000000001"/>
    <n v="0"/>
  </r>
  <r>
    <x v="5"/>
    <x v="0"/>
    <n v="0"/>
    <n v="0"/>
    <n v="0"/>
  </r>
  <r>
    <x v="5"/>
    <x v="1"/>
    <n v="0"/>
    <n v="0"/>
    <n v="2854"/>
  </r>
  <r>
    <x v="5"/>
    <x v="2"/>
    <n v="12479"/>
    <n v="10838"/>
    <n v="2832"/>
  </r>
  <r>
    <x v="5"/>
    <x v="3"/>
    <n v="14013"/>
    <n v="10954"/>
    <n v="3175"/>
  </r>
  <r>
    <x v="5"/>
    <x v="4"/>
    <n v="13953"/>
    <n v="13353"/>
    <n v="3632"/>
  </r>
  <r>
    <x v="5"/>
    <x v="5"/>
    <n v="13458"/>
    <n v="17822"/>
    <n v="3278"/>
  </r>
  <r>
    <x v="5"/>
    <x v="6"/>
    <n v="15856"/>
    <n v="20819"/>
    <n v="3334"/>
  </r>
  <r>
    <x v="5"/>
    <x v="7"/>
    <n v="16412"/>
    <n v="20308"/>
    <n v="3525"/>
  </r>
  <r>
    <x v="5"/>
    <x v="8"/>
    <n v="7572"/>
    <n v="11480"/>
    <n v="3664"/>
  </r>
  <r>
    <x v="5"/>
    <x v="9"/>
    <n v="4403"/>
    <n v="4542"/>
    <n v="1253"/>
  </r>
  <r>
    <x v="6"/>
    <x v="0"/>
    <n v="0"/>
    <n v="0"/>
    <n v="0"/>
  </r>
  <r>
    <x v="6"/>
    <x v="1"/>
    <n v="0"/>
    <n v="0"/>
    <n v="0"/>
  </r>
  <r>
    <x v="6"/>
    <x v="2"/>
    <n v="372.98599999999999"/>
    <n v="432.03699999999998"/>
    <n v="0"/>
  </r>
  <r>
    <x v="6"/>
    <x v="3"/>
    <n v="653.16700000000003"/>
    <n v="1196.828"/>
    <n v="0"/>
  </r>
  <r>
    <x v="6"/>
    <x v="4"/>
    <n v="1067.915"/>
    <n v="2156.0949999999998"/>
    <n v="0"/>
  </r>
  <r>
    <x v="6"/>
    <x v="5"/>
    <n v="1632.0650000000001"/>
    <n v="4313.0569999999998"/>
    <n v="0"/>
  </r>
  <r>
    <x v="6"/>
    <x v="6"/>
    <n v="2563.2950000000001"/>
    <n v="3792.6550000000002"/>
    <n v="0"/>
  </r>
  <r>
    <x v="6"/>
    <x v="7"/>
    <n v="3355.7150000000001"/>
    <n v="4972.2"/>
    <n v="0"/>
  </r>
  <r>
    <x v="6"/>
    <x v="8"/>
    <n v="1857.1010000000001"/>
    <n v="2536.3020000000001"/>
    <n v="0"/>
  </r>
  <r>
    <x v="6"/>
    <x v="9"/>
    <n v="1125.9190000000001"/>
    <n v="1114.0729999999999"/>
    <n v="0"/>
  </r>
  <r>
    <x v="7"/>
    <x v="0"/>
    <n v="0"/>
    <n v="0"/>
    <n v="0"/>
  </r>
  <r>
    <x v="7"/>
    <x v="1"/>
    <n v="0"/>
    <n v="0"/>
    <n v="289"/>
  </r>
  <r>
    <x v="7"/>
    <x v="2"/>
    <n v="4737"/>
    <n v="4087"/>
    <n v="284"/>
  </r>
  <r>
    <x v="7"/>
    <x v="3"/>
    <n v="5478"/>
    <n v="6544"/>
    <n v="281"/>
  </r>
  <r>
    <x v="7"/>
    <x v="4"/>
    <n v="6224"/>
    <n v="6943"/>
    <n v="278"/>
  </r>
  <r>
    <x v="7"/>
    <x v="5"/>
    <n v="4956"/>
    <n v="8005"/>
    <n v="324"/>
  </r>
  <r>
    <x v="7"/>
    <x v="6"/>
    <n v="5436"/>
    <n v="5922"/>
    <n v="348"/>
  </r>
  <r>
    <x v="7"/>
    <x v="7"/>
    <n v="6021"/>
    <n v="12172"/>
    <n v="386"/>
  </r>
  <r>
    <x v="7"/>
    <x v="8"/>
    <n v="5373"/>
    <n v="5170"/>
    <n v="396"/>
  </r>
  <r>
    <x v="7"/>
    <x v="9"/>
    <n v="1746"/>
    <n v="3132"/>
    <n v="221"/>
  </r>
  <r>
    <x v="8"/>
    <x v="0"/>
    <n v="0"/>
    <n v="0"/>
    <n v="0"/>
  </r>
  <r>
    <x v="8"/>
    <x v="1"/>
    <n v="0"/>
    <n v="0"/>
    <n v="0"/>
  </r>
  <r>
    <x v="8"/>
    <x v="2"/>
    <n v="7873"/>
    <n v="4810"/>
    <n v="1051"/>
  </r>
  <r>
    <x v="8"/>
    <x v="3"/>
    <n v="2329"/>
    <n v="5434"/>
    <n v="590"/>
  </r>
  <r>
    <x v="8"/>
    <x v="4"/>
    <n v="3927"/>
    <n v="4960"/>
    <n v="588"/>
  </r>
  <r>
    <x v="8"/>
    <x v="5"/>
    <n v="3107"/>
    <n v="3673"/>
    <n v="588"/>
  </r>
  <r>
    <x v="8"/>
    <x v="6"/>
    <n v="2289"/>
    <n v="2832"/>
    <n v="401"/>
  </r>
  <r>
    <x v="8"/>
    <x v="7"/>
    <n v="2667"/>
    <n v="12992"/>
    <n v="202"/>
  </r>
  <r>
    <x v="8"/>
    <x v="8"/>
    <n v="1681"/>
    <n v="2263"/>
    <n v="152"/>
  </r>
  <r>
    <x v="8"/>
    <x v="9"/>
    <n v="625"/>
    <n v="1339"/>
    <n v="51"/>
  </r>
  <r>
    <x v="9"/>
    <x v="0"/>
    <n v="0"/>
    <n v="0"/>
    <n v="0"/>
  </r>
  <r>
    <x v="9"/>
    <x v="1"/>
    <n v="0"/>
    <n v="0"/>
    <n v="115"/>
  </r>
  <r>
    <x v="9"/>
    <x v="2"/>
    <n v="2922.4389999999999"/>
    <n v="3823.498"/>
    <n v="142"/>
  </r>
  <r>
    <x v="9"/>
    <x v="3"/>
    <n v="2708.6019999999999"/>
    <n v="5386.5050000000001"/>
    <n v="153"/>
  </r>
  <r>
    <x v="9"/>
    <x v="4"/>
    <n v="4578.41"/>
    <n v="6466.1639999999998"/>
    <n v="167"/>
  </r>
  <r>
    <x v="9"/>
    <x v="5"/>
    <n v="5236.777"/>
    <n v="6941.19"/>
    <n v="181"/>
  </r>
  <r>
    <x v="9"/>
    <x v="6"/>
    <n v="7329.4139999999998"/>
    <n v="6863.8909999999996"/>
    <n v="199"/>
  </r>
  <r>
    <x v="9"/>
    <x v="7"/>
    <n v="8649.1550000000007"/>
    <n v="7722.7690000000002"/>
    <n v="280"/>
  </r>
  <r>
    <x v="9"/>
    <x v="8"/>
    <n v="3595.165"/>
    <n v="4875.2830000000004"/>
    <n v="367"/>
  </r>
  <r>
    <x v="9"/>
    <x v="9"/>
    <n v="2359.0630000000001"/>
    <n v="6465.2839999999997"/>
    <n v="373"/>
  </r>
  <r>
    <x v="10"/>
    <x v="0"/>
    <n v="0"/>
    <n v="0"/>
    <n v="0"/>
  </r>
  <r>
    <x v="10"/>
    <x v="1"/>
    <n v="0"/>
    <n v="0"/>
    <n v="130"/>
  </r>
  <r>
    <x v="10"/>
    <x v="2"/>
    <n v="3046"/>
    <n v="3118"/>
    <n v="131"/>
  </r>
  <r>
    <x v="10"/>
    <x v="3"/>
    <n v="4530"/>
    <n v="6471"/>
    <n v="131"/>
  </r>
  <r>
    <x v="10"/>
    <x v="4"/>
    <n v="4984"/>
    <n v="8336"/>
    <n v="136"/>
  </r>
  <r>
    <x v="10"/>
    <x v="5"/>
    <n v="5660"/>
    <n v="8861"/>
    <n v="171"/>
  </r>
  <r>
    <x v="10"/>
    <x v="6"/>
    <n v="5098"/>
    <n v="6766"/>
    <n v="235"/>
  </r>
  <r>
    <x v="10"/>
    <x v="7"/>
    <n v="4457"/>
    <n v="5578"/>
    <n v="303"/>
  </r>
  <r>
    <x v="10"/>
    <x v="8"/>
    <n v="1981"/>
    <n v="4193"/>
    <n v="287"/>
  </r>
  <r>
    <x v="10"/>
    <x v="9"/>
    <n v="795"/>
    <n v="1690"/>
    <n v="350"/>
  </r>
  <r>
    <x v="11"/>
    <x v="0"/>
    <n v="0"/>
    <n v="0"/>
    <n v="0"/>
  </r>
  <r>
    <x v="11"/>
    <x v="1"/>
    <n v="0"/>
    <n v="0"/>
    <n v="681"/>
  </r>
  <r>
    <x v="11"/>
    <x v="2"/>
    <n v="5268"/>
    <n v="3514"/>
    <n v="679"/>
  </r>
  <r>
    <x v="11"/>
    <x v="3"/>
    <n v="5870"/>
    <n v="3812"/>
    <n v="704"/>
  </r>
  <r>
    <x v="11"/>
    <x v="4"/>
    <n v="6524"/>
    <n v="7140"/>
    <n v="567"/>
  </r>
  <r>
    <x v="11"/>
    <x v="5"/>
    <n v="4017"/>
    <n v="6647"/>
    <n v="480"/>
  </r>
  <r>
    <x v="11"/>
    <x v="6"/>
    <n v="5270"/>
    <n v="5451"/>
    <n v="508"/>
  </r>
  <r>
    <x v="11"/>
    <x v="7"/>
    <n v="5487"/>
    <n v="6105"/>
    <n v="543"/>
  </r>
  <r>
    <x v="11"/>
    <x v="8"/>
    <n v="1565"/>
    <n v="2845"/>
    <n v="460"/>
  </r>
  <r>
    <x v="11"/>
    <x v="9"/>
    <n v="1073"/>
    <n v="2113"/>
    <n v="162"/>
  </r>
  <r>
    <x v="12"/>
    <x v="0"/>
    <n v="0"/>
    <n v="0"/>
    <n v="0"/>
  </r>
  <r>
    <x v="12"/>
    <x v="1"/>
    <n v="0"/>
    <n v="0"/>
    <n v="940"/>
  </r>
  <r>
    <x v="12"/>
    <x v="2"/>
    <n v="5856"/>
    <n v="3463"/>
    <n v="1063"/>
  </r>
  <r>
    <x v="12"/>
    <x v="3"/>
    <n v="9356"/>
    <n v="7836"/>
    <n v="1159"/>
  </r>
  <r>
    <x v="12"/>
    <x v="4"/>
    <n v="12306"/>
    <n v="10857"/>
    <n v="1436"/>
  </r>
  <r>
    <x v="12"/>
    <x v="5"/>
    <n v="9050"/>
    <n v="8014"/>
    <n v="2128"/>
  </r>
  <r>
    <x v="12"/>
    <x v="6"/>
    <n v="10229"/>
    <n v="5982"/>
    <n v="1553"/>
  </r>
  <r>
    <x v="12"/>
    <x v="7"/>
    <n v="8871"/>
    <n v="8284"/>
    <n v="2210"/>
  </r>
  <r>
    <x v="12"/>
    <x v="8"/>
    <n v="3254"/>
    <n v="4762"/>
    <n v="2264"/>
  </r>
  <r>
    <x v="12"/>
    <x v="9"/>
    <n v="2519"/>
    <n v="4662"/>
    <n v="2309"/>
  </r>
  <r>
    <x v="13"/>
    <x v="0"/>
    <n v="0"/>
    <n v="0"/>
    <n v="0"/>
  </r>
  <r>
    <x v="13"/>
    <x v="1"/>
    <n v="0"/>
    <n v="0"/>
    <n v="36"/>
  </r>
  <r>
    <x v="13"/>
    <x v="2"/>
    <n v="543.05899999999997"/>
    <n v="414.20600000000002"/>
    <n v="9"/>
  </r>
  <r>
    <x v="13"/>
    <x v="3"/>
    <n v="1285.0229999999999"/>
    <n v="1092.2339999999999"/>
    <n v="9"/>
  </r>
  <r>
    <x v="13"/>
    <x v="4"/>
    <n v="1529.7139999999999"/>
    <n v="2153.9840000000004"/>
    <n v="10"/>
  </r>
  <r>
    <x v="13"/>
    <x v="5"/>
    <n v="1837"/>
    <n v="2946.8919999999998"/>
    <n v="10"/>
  </r>
  <r>
    <x v="13"/>
    <x v="6"/>
    <n v="2146"/>
    <n v="2835.299"/>
    <n v="11"/>
  </r>
  <r>
    <x v="13"/>
    <x v="7"/>
    <n v="2366"/>
    <n v="3575"/>
    <n v="12"/>
  </r>
  <r>
    <x v="13"/>
    <x v="8"/>
    <n v="1248"/>
    <n v="2073"/>
    <n v="12"/>
  </r>
  <r>
    <x v="13"/>
    <x v="9"/>
    <n v="1498"/>
    <n v="2388"/>
    <n v="13"/>
  </r>
  <r>
    <x v="14"/>
    <x v="0"/>
    <n v="0"/>
    <n v="0"/>
    <n v="0"/>
  </r>
  <r>
    <x v="14"/>
    <x v="1"/>
    <n v="0"/>
    <n v="0"/>
    <n v="25"/>
  </r>
  <r>
    <x v="14"/>
    <x v="2"/>
    <n v="554.20699999999999"/>
    <n v="814.24400000000003"/>
    <n v="25"/>
  </r>
  <r>
    <x v="14"/>
    <x v="3"/>
    <n v="433.88600000000002"/>
    <n v="1211.8779999999999"/>
    <n v="26"/>
  </r>
  <r>
    <x v="14"/>
    <x v="4"/>
    <n v="610.20000000000005"/>
    <n v="1616.6010000000001"/>
    <n v="26"/>
  </r>
  <r>
    <x v="14"/>
    <x v="5"/>
    <n v="647.09900000000005"/>
    <n v="1716.6120000000001"/>
    <n v="26"/>
  </r>
  <r>
    <x v="14"/>
    <x v="6"/>
    <n v="743.53800000000001"/>
    <n v="1453.816"/>
    <n v="26"/>
  </r>
  <r>
    <x v="14"/>
    <x v="7"/>
    <n v="974.35299999999995"/>
    <n v="2065.0549999999998"/>
    <n v="27"/>
  </r>
  <r>
    <x v="14"/>
    <x v="8"/>
    <n v="691.40200000000004"/>
    <n v="925.72500000000002"/>
    <n v="27"/>
  </r>
  <r>
    <x v="14"/>
    <x v="9"/>
    <n v="387.06799999999998"/>
    <n v="3701.1529999999998"/>
    <n v="17"/>
  </r>
  <r>
    <x v="15"/>
    <x v="0"/>
    <n v="0"/>
    <n v="0"/>
    <n v="0"/>
  </r>
  <r>
    <x v="15"/>
    <x v="1"/>
    <n v="0"/>
    <n v="0"/>
    <n v="0"/>
  </r>
  <r>
    <x v="15"/>
    <x v="2"/>
    <n v="1359.376"/>
    <n v="1529.876"/>
    <n v="0"/>
  </r>
  <r>
    <x v="15"/>
    <x v="3"/>
    <n v="1642.585"/>
    <n v="1781.424"/>
    <n v="0"/>
  </r>
  <r>
    <x v="15"/>
    <x v="4"/>
    <n v="1739.817"/>
    <n v="1960.106"/>
    <n v="0"/>
  </r>
  <r>
    <x v="15"/>
    <x v="5"/>
    <n v="1654"/>
    <n v="1911"/>
    <n v="0"/>
  </r>
  <r>
    <x v="15"/>
    <x v="6"/>
    <n v="1909"/>
    <n v="2023"/>
    <n v="0"/>
  </r>
  <r>
    <x v="15"/>
    <x v="7"/>
    <n v="2335"/>
    <n v="7221"/>
    <n v="0"/>
  </r>
  <r>
    <x v="15"/>
    <x v="8"/>
    <n v="1580"/>
    <n v="2240"/>
    <n v="0"/>
  </r>
  <r>
    <x v="15"/>
    <x v="9"/>
    <n v="498"/>
    <n v="62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4" cacheId="8" applyNumberFormats="0" applyBorderFormats="0" applyFontFormats="0" applyPatternFormats="0" applyAlignmentFormats="0" applyWidthHeightFormats="1" dataCaption="Values" updatedVersion="5" minRefreshableVersion="3" rowGrandTotals="0" colGrandTotals="0" itemPrintTitles="1" createdVersion="5" indent="0" outline="1" outlineData="1" multipleFieldFilters="0" chartFormat="80">
  <location ref="X89:AA97" firstHeaderRow="0" firstDataRow="1" firstDataCol="1" rowPageCount="1" colPageCount="1"/>
  <pivotFields count="52">
    <pivotField axis="axisPage" multipleItemSelectionAllowed="1" showAll="0" defaultSubtotal="0">
      <items count="17">
        <item x="8"/>
        <item x="0"/>
        <item x="1"/>
        <item x="2"/>
        <item x="3"/>
        <item x="5"/>
        <item x="7"/>
        <item x="9"/>
        <item x="12"/>
        <item x="13"/>
        <item x="14"/>
        <item x="15"/>
        <item h="1" m="1" x="16"/>
        <item x="4"/>
        <item x="11"/>
        <item x="6"/>
        <item x="10"/>
      </items>
    </pivotField>
    <pivotField axis="axisRow" multipleItemSelectionAllowed="1" showAll="0">
      <items count="11">
        <item h="1" x="0"/>
        <item h="1" x="1"/>
        <item x="2"/>
        <item x="3"/>
        <item x="4"/>
        <item x="5"/>
        <item x="6"/>
        <item x="7"/>
        <item x="8"/>
        <item x="9"/>
        <item t="default"/>
      </items>
    </pivotField>
    <pivotField numFmtId="43" showAll="0" defaultSubtotal="0"/>
    <pivotField showAll="0" defaultSubtotal="0"/>
    <pivotField showAll="0" defaultSubtotal="0"/>
    <pivotField showAll="0"/>
    <pivotField showAll="0" defaultSubtotal="0"/>
    <pivotField showAll="0" defaultSubtotal="0"/>
    <pivotField showAll="0" defaultSubtotal="0"/>
    <pivotField dataField="1" showAll="0" defaultSubtotal="0"/>
    <pivotField showAll="0" defaultSubtotal="0"/>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ataField="1" dragToRow="0" dragToCol="0" dragToPage="0" showAll="0" defaultSubtotal="0"/>
  </pivotFields>
  <rowFields count="1">
    <field x="1"/>
  </rowFields>
  <rowItems count="8">
    <i>
      <x v="2"/>
    </i>
    <i>
      <x v="3"/>
    </i>
    <i>
      <x v="4"/>
    </i>
    <i>
      <x v="5"/>
    </i>
    <i>
      <x v="6"/>
    </i>
    <i>
      <x v="7"/>
    </i>
    <i>
      <x v="8"/>
    </i>
    <i>
      <x v="9"/>
    </i>
  </rowItems>
  <colFields count="1">
    <field x="-2"/>
  </colFields>
  <colItems count="3">
    <i>
      <x/>
    </i>
    <i i="1">
      <x v="1"/>
    </i>
    <i i="2">
      <x v="2"/>
    </i>
  </colItems>
  <pageFields count="1">
    <pageField fld="0" hier="-1"/>
  </pageFields>
  <dataFields count="3">
    <dataField name=" EBITDA" fld="9" baseField="0" baseItem="0"/>
    <dataField name="EBIT" fld="11" baseField="0" baseItem="0"/>
    <dataField name="Total Upstream Cash Costs " fld="51" baseField="0" baseItem="0"/>
  </dataFields>
  <formats count="1">
    <format dxfId="1">
      <pivotArea outline="0" collapsedLevelsAreSubtotals="1" fieldPosition="0"/>
    </format>
  </formats>
  <chartFormats count="12">
    <chartFormat chart="13" format="20" series="1">
      <pivotArea type="data" outline="0" fieldPosition="0">
        <references count="1">
          <reference field="4294967294" count="1" selected="0">
            <x v="0"/>
          </reference>
        </references>
      </pivotArea>
    </chartFormat>
    <chartFormat chart="6" format="12" series="1">
      <pivotArea type="data" outline="0" fieldPosition="0">
        <references count="1">
          <reference field="4294967294" count="1" selected="0">
            <x v="0"/>
          </reference>
        </references>
      </pivotArea>
    </chartFormat>
    <chartFormat chart="13" format="21" series="1">
      <pivotArea type="data" outline="0" fieldPosition="0">
        <references count="1">
          <reference field="4294967294" count="1" selected="0">
            <x v="1"/>
          </reference>
        </references>
      </pivotArea>
    </chartFormat>
    <chartFormat chart="6" format="13" series="1">
      <pivotArea type="data" outline="0" fieldPosition="0">
        <references count="1">
          <reference field="4294967294" count="1" selected="0">
            <x v="1"/>
          </reference>
        </references>
      </pivotArea>
    </chartFormat>
    <chartFormat chart="13" format="27" series="1">
      <pivotArea type="data" outline="0" fieldPosition="0">
        <references count="1">
          <reference field="4294967294" count="1" selected="0">
            <x v="2"/>
          </reference>
        </references>
      </pivotArea>
    </chartFormat>
    <chartFormat chart="6" format="19" series="1">
      <pivotArea type="data" outline="0" fieldPosition="0">
        <references count="1">
          <reference field="4294967294" count="1" selected="0">
            <x v="2"/>
          </reference>
        </references>
      </pivotArea>
    </chartFormat>
    <chartFormat chart="77" format="28" series="1">
      <pivotArea type="data" outline="0" fieldPosition="0">
        <references count="1">
          <reference field="4294967294" count="1" selected="0">
            <x v="2"/>
          </reference>
        </references>
      </pivotArea>
    </chartFormat>
    <chartFormat chart="77" format="29" series="1">
      <pivotArea type="data" outline="0" fieldPosition="0">
        <references count="1">
          <reference field="4294967294" count="1" selected="0">
            <x v="0"/>
          </reference>
        </references>
      </pivotArea>
    </chartFormat>
    <chartFormat chart="77" format="30" series="1">
      <pivotArea type="data" outline="0" fieldPosition="0">
        <references count="1">
          <reference field="4294967294" count="1" selected="0">
            <x v="1"/>
          </reference>
        </references>
      </pivotArea>
    </chartFormat>
    <chartFormat chart="78" format="31" series="1">
      <pivotArea type="data" outline="0" fieldPosition="0">
        <references count="1">
          <reference field="4294967294" count="1" selected="0">
            <x v="2"/>
          </reference>
        </references>
      </pivotArea>
    </chartFormat>
    <chartFormat chart="78" format="32" series="1">
      <pivotArea type="data" outline="0" fieldPosition="0">
        <references count="1">
          <reference field="4294967294" count="1" selected="0">
            <x v="0"/>
          </reference>
        </references>
      </pivotArea>
    </chartFormat>
    <chartFormat chart="78" format="33"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6" cacheId="8" applyNumberFormats="0" applyBorderFormats="0" applyFontFormats="0" applyPatternFormats="0" applyAlignmentFormats="0" applyWidthHeightFormats="1" dataCaption="Values" updatedVersion="5" minRefreshableVersion="3" itemPrintTitles="1" createdVersion="5" indent="0" outline="1" outlineData="1" multipleFieldFilters="0" chartFormat="12">
  <location ref="X104:Z113" firstHeaderRow="0" firstDataRow="1" firstDataCol="1" rowPageCount="1" colPageCount="1"/>
  <pivotFields count="52">
    <pivotField axis="axisPage" multipleItemSelectionAllowed="1" showAll="0" defaultSubtotal="0">
      <items count="17">
        <item x="8"/>
        <item x="0"/>
        <item x="1"/>
        <item x="2"/>
        <item x="3"/>
        <item x="5"/>
        <item x="7"/>
        <item x="9"/>
        <item x="12"/>
        <item x="13"/>
        <item x="14"/>
        <item x="15"/>
        <item h="1" m="1" x="16"/>
        <item x="4"/>
        <item x="11"/>
        <item x="6"/>
        <item x="10"/>
      </items>
    </pivotField>
    <pivotField axis="axisRow" multipleItemSelectionAllowed="1" showAll="0">
      <items count="11">
        <item h="1" x="0"/>
        <item h="1" x="1"/>
        <item x="2"/>
        <item x="3"/>
        <item x="4"/>
        <item x="5"/>
        <item x="6"/>
        <item x="7"/>
        <item x="8"/>
        <item x="9"/>
        <item t="default"/>
      </items>
    </pivotField>
    <pivotField numFmtId="43" showAll="0" defaultSubtotal="0"/>
    <pivotField showAll="0" defaultSubtotal="0"/>
    <pivotField showAll="0" defaultSubtota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ataField="1" dragToRow="0" dragToCol="0" dragToPage="0" showAll="0" defaultSubtotal="0"/>
    <pivotField dataField="1"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1"/>
  </rowFields>
  <rowItems count="9">
    <i>
      <x v="2"/>
    </i>
    <i>
      <x v="3"/>
    </i>
    <i>
      <x v="4"/>
    </i>
    <i>
      <x v="5"/>
    </i>
    <i>
      <x v="6"/>
    </i>
    <i>
      <x v="7"/>
    </i>
    <i>
      <x v="8"/>
    </i>
    <i>
      <x v="9"/>
    </i>
    <i t="grand">
      <x/>
    </i>
  </rowItems>
  <colFields count="1">
    <field x="-2"/>
  </colFields>
  <colItems count="2">
    <i>
      <x/>
    </i>
    <i i="1">
      <x v="1"/>
    </i>
  </colItems>
  <pageFields count="1">
    <pageField fld="0" hier="-1"/>
  </pageFields>
  <dataFields count="2">
    <dataField name=" CF from Operations" fld="36" baseField="0" baseItem="0" numFmtId="43"/>
    <dataField name=" Capex " fld="37" baseField="0" baseItem="0" numFmtId="43"/>
  </dataFields>
  <chartFormats count="4">
    <chartFormat chart="2" format="0" series="1">
      <pivotArea type="data" outline="0" fieldPosition="0">
        <references count="1">
          <reference field="4294967294" count="1" selected="0">
            <x v="1"/>
          </reference>
        </references>
      </pivotArea>
    </chartFormat>
    <chartFormat chart="2" format="1" series="1">
      <pivotArea type="data" outline="0" fieldPosition="0">
        <references count="1">
          <reference field="4294967294" count="1" selected="0">
            <x v="0"/>
          </reference>
        </references>
      </pivotArea>
    </chartFormat>
    <chartFormat chart="8" format="4" series="1">
      <pivotArea type="data" outline="0" fieldPosition="0">
        <references count="1">
          <reference field="4294967294" count="1" selected="0">
            <x v="0"/>
          </reference>
        </references>
      </pivotArea>
    </chartFormat>
    <chartFormat chart="8" format="5"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2" cacheId="8" dataOnRows="1" applyNumberFormats="0" applyBorderFormats="0" applyFontFormats="0" applyPatternFormats="0" applyAlignmentFormats="0" applyWidthHeightFormats="1" dataCaption="Values" updatedVersion="5" minRefreshableVersion="3" itemPrintTitles="1" createdVersion="5" indent="0" outline="1" outlineData="1" multipleFieldFilters="0" chartFormat="2">
  <location ref="X6:Y24" firstHeaderRow="1" firstDataRow="1" firstDataCol="1" rowPageCount="2" colPageCount="1"/>
  <pivotFields count="52">
    <pivotField axis="axisPage" multipleItemSelectionAllowed="1" showAll="0" defaultSubtotal="0">
      <items count="17">
        <item x="0"/>
        <item x="1"/>
        <item x="2"/>
        <item x="3"/>
        <item x="4"/>
        <item x="5"/>
        <item x="6"/>
        <item x="7"/>
        <item x="8"/>
        <item x="9"/>
        <item x="10"/>
        <item x="11"/>
        <item x="12"/>
        <item x="13"/>
        <item x="14"/>
        <item x="15"/>
        <item h="1" m="1" x="16"/>
      </items>
    </pivotField>
    <pivotField axis="axisPage" multipleItemSelectionAllowed="1" showAll="0">
      <items count="11">
        <item h="1" x="0"/>
        <item h="1" x="1"/>
        <item x="2"/>
        <item x="3"/>
        <item x="4"/>
        <item x="5"/>
        <item x="6"/>
        <item x="7"/>
        <item x="8"/>
        <item x="9"/>
        <item t="default"/>
      </items>
    </pivotField>
    <pivotField numFmtId="43" showAll="0" defaultSubtotal="0"/>
    <pivotField showAll="0" defaultSubtotal="0"/>
    <pivotField showAll="0" defaultSubtota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ragToRow="0" dragToCol="0" dragToPage="0" showAll="0" defaultSubtotal="0"/>
    <pivotField dataField="1" dragToRow="0" dragToCol="0" dragToPage="0" showAll="0" defaultSubtotal="0"/>
    <pivotField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2"/>
  </rowFields>
  <rowItems count="18">
    <i>
      <x/>
    </i>
    <i i="1">
      <x v="1"/>
    </i>
    <i i="2">
      <x v="2"/>
    </i>
    <i i="3">
      <x v="3"/>
    </i>
    <i i="4">
      <x v="4"/>
    </i>
    <i i="5">
      <x v="5"/>
    </i>
    <i i="6">
      <x v="6"/>
    </i>
    <i i="7">
      <x v="7"/>
    </i>
    <i i="8">
      <x v="8"/>
    </i>
    <i i="9">
      <x v="9"/>
    </i>
    <i i="10">
      <x v="10"/>
    </i>
    <i i="11">
      <x v="11"/>
    </i>
    <i i="12">
      <x v="12"/>
    </i>
    <i i="13">
      <x v="13"/>
    </i>
    <i i="14">
      <x v="14"/>
    </i>
    <i i="15">
      <x v="15"/>
    </i>
    <i i="16">
      <x v="16"/>
    </i>
    <i i="17">
      <x v="17"/>
    </i>
  </rowItems>
  <colItems count="1">
    <i/>
  </colItems>
  <pageFields count="2">
    <pageField fld="0" hier="-1"/>
    <pageField fld="1" hier="-1"/>
  </pageFields>
  <dataFields count="18">
    <dataField name="Sum of Oil, Gas, &amp; NGL Sales" fld="21" baseField="0" baseItem="0" numFmtId="43"/>
    <dataField name="Sum of Production Costs" fld="22" baseField="0" baseItem="0" numFmtId="43"/>
    <dataField name="Sum of Exploration" fld="23" baseField="0" baseItem="0" numFmtId="43"/>
    <dataField name="Sum of Non-Income Tax" fld="24" baseField="0" baseItem="0" numFmtId="43"/>
    <dataField name="Sum of G&amp;A" fld="25" baseField="0" baseItem="0" numFmtId="43"/>
    <dataField name="Sum of EBITDA " fld="26" baseField="0" baseItem="0" numFmtId="43"/>
    <dataField name="Sum of Upstream DD&amp;A" fld="27" baseField="0" baseItem="0" numFmtId="43"/>
    <dataField name="Sum of Clean EBIT " fld="28" baseField="0" baseItem="0" numFmtId="43"/>
    <dataField name="Sum of Interest " fld="30" baseField="0" baseItem="0" numFmtId="43"/>
    <dataField name="Sum of Income Tax " fld="32" baseField="0" baseItem="0" numFmtId="43"/>
    <dataField name="Sum of Net Income " fld="33" baseField="0" baseItem="0" numFmtId="43"/>
    <dataField name="Sum of The Heaping Mound" fld="40" baseField="0" baseItem="0" numFmtId="43"/>
    <dataField name="Sum of Reported NI" fld="41" baseField="0" baseItem="0" numFmtId="43"/>
    <dataField name="Sum of Total DD&amp;A" fld="34" baseField="0" baseItem="0" numFmtId="43"/>
    <dataField name="Sum of Other CF Adjustments " fld="35" baseField="0" baseItem="0" numFmtId="43"/>
    <dataField name="Sum of CF from Operations" fld="36" baseField="0" baseItem="0" numFmtId="43"/>
    <dataField name="Sum of Capex " fld="37" baseField="0" baseItem="0" numFmtId="43"/>
    <dataField name="Sum of Midstream Revenue " fld="39" baseField="0" baseItem="0" numFmtId="43"/>
  </dataFields>
  <chartFormats count="1">
    <chartFormat chart="1"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3" cacheId="8"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43">
  <location ref="X73:Z82" firstHeaderRow="0" firstDataRow="1" firstDataCol="1" rowPageCount="1" colPageCount="1"/>
  <pivotFields count="52">
    <pivotField axis="axisPage" multipleItemSelectionAllowed="1" showAll="0" defaultSubtotal="0">
      <items count="17">
        <item x="8"/>
        <item x="0"/>
        <item x="1"/>
        <item x="2"/>
        <item x="3"/>
        <item x="5"/>
        <item x="7"/>
        <item x="9"/>
        <item x="12"/>
        <item x="13"/>
        <item x="14"/>
        <item x="15"/>
        <item h="1" m="1" x="16"/>
        <item x="4"/>
        <item x="11"/>
        <item x="6"/>
        <item x="10"/>
      </items>
    </pivotField>
    <pivotField axis="axisRow" multipleItemSelectionAllowed="1" showAll="0">
      <items count="11">
        <item h="1" x="0"/>
        <item h="1" x="1"/>
        <item x="2"/>
        <item x="3"/>
        <item x="4"/>
        <item x="5"/>
        <item x="6"/>
        <item x="7"/>
        <item x="8"/>
        <item x="9"/>
        <item t="default"/>
      </items>
    </pivotField>
    <pivotField numFmtId="43" showAll="0" defaultSubtotal="0"/>
    <pivotField showAll="0" defaultSubtotal="0"/>
    <pivotField showAll="0" defaultSubtotal="0"/>
    <pivotField showAll="0"/>
    <pivotField showAll="0" defaultSubtotal="0"/>
    <pivotField showAll="0" defaultSubtotal="0"/>
    <pivotField showAll="0" defaultSubtotal="0"/>
    <pivotField showAll="0" defaultSubtotal="0"/>
    <pivotField showAll="0" defaultSubtotal="0"/>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ataField="1"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1"/>
  </rowFields>
  <rowItems count="9">
    <i>
      <x v="2"/>
    </i>
    <i>
      <x v="3"/>
    </i>
    <i>
      <x v="4"/>
    </i>
    <i>
      <x v="5"/>
    </i>
    <i>
      <x v="6"/>
    </i>
    <i>
      <x v="7"/>
    </i>
    <i>
      <x v="8"/>
    </i>
    <i>
      <x v="9"/>
    </i>
    <i t="grand">
      <x/>
    </i>
  </rowItems>
  <colFields count="1">
    <field x="-2"/>
  </colFields>
  <colItems count="2">
    <i>
      <x/>
    </i>
    <i i="1">
      <x v="1"/>
    </i>
  </colItems>
  <pageFields count="1">
    <pageField fld="0" hier="-1"/>
  </pageFields>
  <dataFields count="2">
    <dataField name="Interest Expense " fld="48" baseField="0" baseItem="0"/>
    <dataField name=" Clean EBIT" fld="11" baseField="1" baseItem="2"/>
  </dataFields>
  <chartFormats count="4">
    <chartFormat chart="0" format="3" series="1">
      <pivotArea type="data" outline="0" fieldPosition="0">
        <references count="1">
          <reference field="4294967294" count="1" selected="0">
            <x v="0"/>
          </reference>
        </references>
      </pivotArea>
    </chartFormat>
    <chartFormat chart="20" format="6" series="1">
      <pivotArea type="data" outline="0" fieldPosition="0">
        <references count="1">
          <reference field="4294967294" count="1" selected="0">
            <x v="0"/>
          </reference>
        </references>
      </pivotArea>
    </chartFormat>
    <chartFormat chart="20" format="8" series="1">
      <pivotArea type="data" outline="0" fieldPosition="0">
        <references count="1">
          <reference field="4294967294" count="1" selected="0">
            <x v="1"/>
          </reference>
        </references>
      </pivotArea>
    </chartFormat>
    <chartFormat chart="0" format="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1" cacheId="8" applyNumberFormats="0" applyBorderFormats="0" applyFontFormats="0" applyPatternFormats="0" applyAlignmentFormats="0" applyWidthHeightFormats="1" dataCaption="Values" updatedVersion="5" minRefreshableVersion="3" rowGrandTotals="0" colGrandTotals="0" itemPrintTitles="1" createdVersion="5" indent="0" outline="1" outlineData="1" multipleFieldFilters="0" chartFormat="45">
  <location ref="X43:AF51" firstHeaderRow="0" firstDataRow="1" firstDataCol="1" rowPageCount="1" colPageCount="1"/>
  <pivotFields count="52">
    <pivotField axis="axisPage" multipleItemSelectionAllowed="1" showAll="0" defaultSubtotal="0">
      <items count="17">
        <item x="8"/>
        <item x="0"/>
        <item x="1"/>
        <item x="2"/>
        <item x="3"/>
        <item x="5"/>
        <item x="7"/>
        <item x="9"/>
        <item x="12"/>
        <item x="13"/>
        <item x="14"/>
        <item x="15"/>
        <item h="1" m="1" x="16"/>
        <item x="4"/>
        <item x="11"/>
        <item x="6"/>
        <item x="10"/>
      </items>
    </pivotField>
    <pivotField axis="axisRow" multipleItemSelectionAllowed="1" showAll="0" defaultSubtotal="0">
      <items count="10">
        <item h="1" x="0"/>
        <item h="1" x="1"/>
        <item x="2"/>
        <item x="3"/>
        <item x="4"/>
        <item x="5"/>
        <item x="6"/>
        <item x="7"/>
        <item x="8"/>
        <item x="9"/>
      </items>
    </pivotField>
    <pivotField numFmtId="43"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ragToRow="0" dragToCol="0" dragToPage="0" showAll="0" defaultSubtotal="0"/>
    <pivotField dragToRow="0" dragToCol="0" dragToPage="0" showAll="0" defaultSubtotal="0"/>
  </pivotFields>
  <rowFields count="1">
    <field x="1"/>
  </rowFields>
  <rowItems count="8">
    <i>
      <x v="2"/>
    </i>
    <i>
      <x v="3"/>
    </i>
    <i>
      <x v="4"/>
    </i>
    <i>
      <x v="5"/>
    </i>
    <i>
      <x v="6"/>
    </i>
    <i>
      <x v="7"/>
    </i>
    <i>
      <x v="8"/>
    </i>
    <i>
      <x v="9"/>
    </i>
  </rowItems>
  <colFields count="1">
    <field x="-2"/>
  </colFields>
  <colItems count="8">
    <i>
      <x/>
    </i>
    <i i="1">
      <x v="1"/>
    </i>
    <i i="2">
      <x v="2"/>
    </i>
    <i i="3">
      <x v="3"/>
    </i>
    <i i="4">
      <x v="4"/>
    </i>
    <i i="5">
      <x v="5"/>
    </i>
    <i i="6">
      <x v="6"/>
    </i>
    <i i="7">
      <x v="7"/>
    </i>
  </colItems>
  <pageFields count="1">
    <pageField fld="0" hier="-1"/>
  </pageFields>
  <dataFields count="8">
    <dataField name=" Revenue" fld="42" baseField="0" baseItem="0"/>
    <dataField name=" Production Costs " fld="43" baseField="0" baseItem="0"/>
    <dataField name=" Exploration Costs " fld="44" baseField="0" baseItem="0"/>
    <dataField name=" Non-Income Tax" fld="45" baseField="0" baseItem="0"/>
    <dataField name=" G&amp;A and Marketing " fld="46" baseField="0" baseItem="0"/>
    <dataField name=" Upstream DD&amp;A " fld="47" baseField="0" baseItem="0"/>
    <dataField name=" Interest Expense " fld="48" baseField="0" baseItem="0"/>
    <dataField name=" Income Tax " fld="49" baseField="0" baseItem="0"/>
  </dataFields>
  <chartFormats count="25">
    <chartFormat chart="19" format="0" series="1">
      <pivotArea type="data" outline="0" fieldPosition="0">
        <references count="1">
          <reference field="4294967294" count="1" selected="0">
            <x v="0"/>
          </reference>
        </references>
      </pivotArea>
    </chartFormat>
    <chartFormat chart="19" format="1" series="1">
      <pivotArea type="data" outline="0" fieldPosition="0">
        <references count="1">
          <reference field="4294967294" count="1" selected="0">
            <x v="1"/>
          </reference>
        </references>
      </pivotArea>
    </chartFormat>
    <chartFormat chart="19" format="2" series="1">
      <pivotArea type="data" outline="0" fieldPosition="0">
        <references count="1">
          <reference field="4294967294" count="1" selected="0">
            <x v="2"/>
          </reference>
        </references>
      </pivotArea>
    </chartFormat>
    <chartFormat chart="19" format="3" series="1">
      <pivotArea type="data" outline="0" fieldPosition="0">
        <references count="1">
          <reference field="4294967294" count="1" selected="0">
            <x v="3"/>
          </reference>
        </references>
      </pivotArea>
    </chartFormat>
    <chartFormat chart="19" format="4" series="1">
      <pivotArea type="data" outline="0" fieldPosition="0">
        <references count="1">
          <reference field="4294967294" count="1" selected="0">
            <x v="4"/>
          </reference>
        </references>
      </pivotArea>
    </chartFormat>
    <chartFormat chart="19" format="5" series="1">
      <pivotArea type="data" outline="0" fieldPosition="0">
        <references count="1">
          <reference field="4294967294" count="1" selected="0">
            <x v="5"/>
          </reference>
        </references>
      </pivotArea>
    </chartFormat>
    <chartFormat chart="19" format="6" series="1">
      <pivotArea type="data" outline="0" fieldPosition="0">
        <references count="1">
          <reference field="4294967294" count="1" selected="0">
            <x v="6"/>
          </reference>
        </references>
      </pivotArea>
    </chartFormat>
    <chartFormat chart="19" format="7" series="1">
      <pivotArea type="data" outline="0" fieldPosition="0">
        <references count="1">
          <reference field="4294967294" count="1" selected="0">
            <x v="7"/>
          </reference>
        </references>
      </pivotArea>
    </chartFormat>
    <chartFormat chart="26" format="16" series="1">
      <pivotArea type="data" outline="0" fieldPosition="0">
        <references count="1">
          <reference field="4294967294" count="1" selected="0">
            <x v="1"/>
          </reference>
        </references>
      </pivotArea>
    </chartFormat>
    <chartFormat chart="26" format="17" series="1">
      <pivotArea type="data" outline="0" fieldPosition="0">
        <references count="1">
          <reference field="4294967294" count="1" selected="0">
            <x v="2"/>
          </reference>
        </references>
      </pivotArea>
    </chartFormat>
    <chartFormat chart="26" format="18" series="1">
      <pivotArea type="data" outline="0" fieldPosition="0">
        <references count="1">
          <reference field="4294967294" count="1" selected="0">
            <x v="3"/>
          </reference>
        </references>
      </pivotArea>
    </chartFormat>
    <chartFormat chart="26" format="19" series="1">
      <pivotArea type="data" outline="0" fieldPosition="0">
        <references count="1">
          <reference field="4294967294" count="1" selected="0">
            <x v="4"/>
          </reference>
        </references>
      </pivotArea>
    </chartFormat>
    <chartFormat chart="26" format="20" series="1">
      <pivotArea type="data" outline="0" fieldPosition="0">
        <references count="1">
          <reference field="4294967294" count="1" selected="0">
            <x v="5"/>
          </reference>
        </references>
      </pivotArea>
    </chartFormat>
    <chartFormat chart="26" format="21" series="1">
      <pivotArea type="data" outline="0" fieldPosition="0">
        <references count="1">
          <reference field="4294967294" count="1" selected="0">
            <x v="6"/>
          </reference>
        </references>
      </pivotArea>
    </chartFormat>
    <chartFormat chart="26" format="22" series="1">
      <pivotArea type="data" outline="0" fieldPosition="0">
        <references count="1">
          <reference field="4294967294" count="1" selected="0">
            <x v="7"/>
          </reference>
        </references>
      </pivotArea>
    </chartFormat>
    <chartFormat chart="26" format="23" series="1">
      <pivotArea type="data" outline="0" fieldPosition="0">
        <references count="1">
          <reference field="4294967294" count="1" selected="0">
            <x v="0"/>
          </reference>
        </references>
      </pivotArea>
    </chartFormat>
    <chartFormat chart="26" format="24">
      <pivotArea type="data" outline="0" fieldPosition="0">
        <references count="1">
          <reference field="4294967294" count="1" selected="0">
            <x v="0"/>
          </reference>
        </references>
      </pivotArea>
    </chartFormat>
    <chartFormat chart="26" format="25">
      <pivotArea type="data" outline="0" fieldPosition="0">
        <references count="2">
          <reference field="4294967294" count="1" selected="0">
            <x v="0"/>
          </reference>
          <reference field="1" count="1" selected="0">
            <x v="5"/>
          </reference>
        </references>
      </pivotArea>
    </chartFormat>
    <chartFormat chart="26" format="26">
      <pivotArea type="data" outline="0" fieldPosition="0">
        <references count="2">
          <reference field="4294967294" count="1" selected="0">
            <x v="0"/>
          </reference>
          <reference field="1" count="1" selected="0">
            <x v="6"/>
          </reference>
        </references>
      </pivotArea>
    </chartFormat>
    <chartFormat chart="26" format="27">
      <pivotArea type="data" outline="0" fieldPosition="0">
        <references count="2">
          <reference field="4294967294" count="1" selected="0">
            <x v="0"/>
          </reference>
          <reference field="1" count="1" selected="0">
            <x v="7"/>
          </reference>
        </references>
      </pivotArea>
    </chartFormat>
    <chartFormat chart="26" format="28">
      <pivotArea type="data" outline="0" fieldPosition="0">
        <references count="2">
          <reference field="4294967294" count="1" selected="0">
            <x v="0"/>
          </reference>
          <reference field="1" count="1" selected="0">
            <x v="8"/>
          </reference>
        </references>
      </pivotArea>
    </chartFormat>
    <chartFormat chart="26" format="29">
      <pivotArea type="data" outline="0" fieldPosition="0">
        <references count="2">
          <reference field="4294967294" count="1" selected="0">
            <x v="0"/>
          </reference>
          <reference field="1" count="1" selected="0">
            <x v="9"/>
          </reference>
        </references>
      </pivotArea>
    </chartFormat>
    <chartFormat chart="26" format="30">
      <pivotArea type="data" outline="0" fieldPosition="0">
        <references count="2">
          <reference field="4294967294" count="1" selected="0">
            <x v="0"/>
          </reference>
          <reference field="1" count="1" selected="0">
            <x v="2"/>
          </reference>
        </references>
      </pivotArea>
    </chartFormat>
    <chartFormat chart="26" format="31">
      <pivotArea type="data" outline="0" fieldPosition="0">
        <references count="2">
          <reference field="4294967294" count="1" selected="0">
            <x v="0"/>
          </reference>
          <reference field="1" count="1" selected="0">
            <x v="3"/>
          </reference>
        </references>
      </pivotArea>
    </chartFormat>
    <chartFormat chart="26" format="32">
      <pivotArea type="data" outline="0" fieldPosition="0">
        <references count="2">
          <reference field="4294967294" count="1" selected="0">
            <x v="0"/>
          </reference>
          <reference field="1"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1" cacheId="8"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D20" firstHeaderRow="0" firstDataRow="1" firstDataCol="1" rowPageCount="1" colPageCount="1"/>
  <pivotFields count="52">
    <pivotField axis="axisRow" showAll="0">
      <items count="18">
        <item x="0"/>
        <item x="1"/>
        <item x="2"/>
        <item x="3"/>
        <item x="4"/>
        <item x="5"/>
        <item x="6"/>
        <item x="7"/>
        <item x="8"/>
        <item x="9"/>
        <item x="10"/>
        <item x="11"/>
        <item x="12"/>
        <item x="13"/>
        <item x="14"/>
        <item x="15"/>
        <item m="1" x="16"/>
        <item t="default"/>
      </items>
    </pivotField>
    <pivotField axis="axisPage" multipleItemSelectionAllowed="1" showAll="0">
      <items count="11">
        <item h="1" x="0"/>
        <item h="1" x="1"/>
        <item h="1" x="2"/>
        <item h="1" x="3"/>
        <item h="1" x="4"/>
        <item h="1" x="5"/>
        <item h="1" x="6"/>
        <item h="1" x="7"/>
        <item h="1"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dataField="1" showAll="0"/>
    <pivotField showAll="0"/>
    <pivotField showAll="0"/>
    <pivotField showAll="0"/>
    <pivotField showAl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3">
    <i>
      <x/>
    </i>
    <i i="1">
      <x v="1"/>
    </i>
    <i i="2">
      <x v="2"/>
    </i>
  </colItems>
  <pageFields count="1">
    <pageField fld="1" hier="-1"/>
  </pageFields>
  <dataFields count="3">
    <dataField name="Sum of Reported Net Income" fld="16" baseField="0" baseItem="0"/>
    <dataField name="Sum of CleanNet Income" fld="14" baseField="0" baseItem="0"/>
    <dataField name="Sum of Diff in NI" fld="15" baseField="0" baseItem="0" numFmtId="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PivotTable1" cacheId="9" applyNumberFormats="0" applyBorderFormats="0" applyFontFormats="0" applyPatternFormats="0" applyAlignmentFormats="0" applyWidthHeightFormats="1" dataCaption="Values" updatedVersion="5" minRefreshableVersion="3" itemPrintTitles="1" createdVersion="5" indent="0" outline="1" outlineData="1" multipleFieldFilters="0" chartFormat="30">
  <location ref="H3:I12" firstHeaderRow="1" firstDataRow="1" firstDataCol="1" rowPageCount="1" colPageCount="1"/>
  <pivotFields count="6">
    <pivotField axis="axisPage" showAll="0" defaultSubtotal="0">
      <items count="16">
        <item x="0"/>
        <item x="1"/>
        <item x="2"/>
        <item x="3"/>
        <item x="4"/>
        <item x="5"/>
        <item x="6"/>
        <item x="7"/>
        <item x="8"/>
        <item x="9"/>
        <item x="10"/>
        <item x="11"/>
        <item x="12"/>
        <item x="13"/>
        <item x="14"/>
        <item x="15"/>
      </items>
    </pivotField>
    <pivotField axis="axisRow" showAll="0" defaultSubtotal="0">
      <items count="10">
        <item h="1" x="0"/>
        <item h="1" x="1"/>
        <item x="2"/>
        <item x="3"/>
        <item x="4"/>
        <item x="5"/>
        <item x="6"/>
        <item x="7"/>
        <item x="8"/>
        <item x="9"/>
      </items>
    </pivotField>
    <pivotField showAll="0"/>
    <pivotField showAll="0"/>
    <pivotField showAll="0"/>
    <pivotField dataField="1" dragToRow="0" dragToCol="0" dragToPage="0" showAll="0" defaultSubtotal="0"/>
  </pivotFields>
  <rowFields count="1">
    <field x="1"/>
  </rowFields>
  <rowItems count="9">
    <i>
      <x v="2"/>
    </i>
    <i>
      <x v="3"/>
    </i>
    <i>
      <x v="4"/>
    </i>
    <i>
      <x v="5"/>
    </i>
    <i>
      <x v="6"/>
    </i>
    <i>
      <x v="7"/>
    </i>
    <i>
      <x v="8"/>
    </i>
    <i>
      <x v="9"/>
    </i>
    <i t="grand">
      <x/>
    </i>
  </rowItems>
  <colItems count="1">
    <i/>
  </colItems>
  <pageFields count="1">
    <pageField fld="0" hier="-1"/>
  </pageFields>
  <dataFields count="1">
    <dataField name="Sum of Field1" fld="5" baseField="0" baseItem="0"/>
  </dataFields>
  <formats count="1">
    <format dxfId="0">
      <pivotArea outline="0" collapsedLevelsAreSubtotals="1" fieldPosition="0"/>
    </format>
  </formats>
  <chartFormats count="3">
    <chartFormat chart="20" format="9" series="1">
      <pivotArea type="data" outline="0" fieldPosition="0">
        <references count="1">
          <reference field="4294967294" count="1" selected="0">
            <x v="0"/>
          </reference>
        </references>
      </pivotArea>
    </chartFormat>
    <chartFormat chart="26" format="10" series="1">
      <pivotArea type="data" outline="0" fieldPosition="0">
        <references count="1">
          <reference field="4294967294" count="1" selected="0">
            <x v="0"/>
          </reference>
        </references>
      </pivotArea>
    </chartFormat>
    <chartFormat chart="27" format="1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ompany1" sourceName="Company">
  <pivotTables>
    <pivotTable tabId="2" name="PivotTable1"/>
    <pivotTable tabId="2" name="PivotTable3"/>
    <pivotTable tabId="2" name="PivotTable4"/>
    <pivotTable tabId="2" name="PivotTable6"/>
    <pivotTable tabId="2" name="PivotTable2"/>
  </pivotTables>
  <data>
    <tabular pivotCacheId="3" showMissing="0">
      <items count="17">
        <i x="0" s="1"/>
        <i x="1" s="1"/>
        <i x="2" s="1"/>
        <i x="3" s="1"/>
        <i x="4" s="1"/>
        <i x="5" s="1"/>
        <i x="6" s="1"/>
        <i x="7" s="1"/>
        <i x="8" s="1"/>
        <i x="9" s="1"/>
        <i x="10" s="1"/>
        <i x="11" s="1"/>
        <i x="12" s="1"/>
        <i x="13" s="1"/>
        <i x="14" s="1"/>
        <i x="15" s="1"/>
        <i x="16"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Year1" sourceName="Year">
  <pivotTables>
    <pivotTable tabId="2" name="PivotTable1"/>
    <pivotTable tabId="2" name="PivotTable3"/>
    <pivotTable tabId="2" name="PivotTable4"/>
    <pivotTable tabId="2" name="PivotTable6"/>
    <pivotTable tabId="2" name="PivotTable2"/>
  </pivotTables>
  <data>
    <tabular pivotCacheId="3">
      <items count="10">
        <i x="0"/>
        <i x="1"/>
        <i x="2" s="1"/>
        <i x="3" s="1"/>
        <i x="4" s="1"/>
        <i x="5" s="1"/>
        <i x="6" s="1"/>
        <i x="7" s="1"/>
        <i x="8" s="1"/>
        <i x="9"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ompany 2" cache="Slicer_Company1" caption="Company" startItem="8" rowHeight="241300"/>
  <slicer name="Year 2" cache="Slicer_Year1" caption="Year" startItem="3" rowHeight="241300"/>
</slicers>
</file>

<file path=xl/slicers/slicer2.xml><?xml version="1.0" encoding="utf-8"?>
<slicers xmlns="http://schemas.microsoft.com/office/spreadsheetml/2009/9/main" xmlns:mc="http://schemas.openxmlformats.org/markup-compatibility/2006" xmlns:x="http://schemas.openxmlformats.org/spreadsheetml/2006/main" mc:Ignorable="x">
  <slicer name="Company 3" cache="Slicer_Company1" caption="Company" columnCount="2" rowHeight="241300"/>
  <slicer name="Year 3" cache="Slicer_Year1" caption="Year"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10" Type="http://schemas.openxmlformats.org/officeDocument/2006/relationships/comments" Target="../comments1.xml"/><Relationship Id="rId4" Type="http://schemas.openxmlformats.org/officeDocument/2006/relationships/pivotTable" Target="../pivotTables/pivotTable4.xml"/><Relationship Id="rId9" Type="http://schemas.microsoft.com/office/2007/relationships/slicer" Target="../slicers/slicer1.xml"/></Relationships>
</file>

<file path=xl/worksheets/_rels/sheet2.xml.rels><?xml version="1.0" encoding="UTF-8" standalone="yes"?>
<Relationships xmlns="http://schemas.openxmlformats.org/package/2006/relationships"><Relationship Id="rId2" Type="http://schemas.microsoft.com/office/2007/relationships/slicer" Target="../slicers/slicer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ivotTable" Target="../pivotTables/pivotTable7.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205"/>
  <sheetViews>
    <sheetView workbookViewId="0">
      <pane xSplit="2" ySplit="1" topLeftCell="C2" activePane="bottomRight" state="frozen"/>
      <selection pane="topRight" activeCell="C1" sqref="C1"/>
      <selection pane="bottomLeft" activeCell="A2" sqref="A2"/>
      <selection pane="bottomRight" sqref="A1:B161"/>
    </sheetView>
  </sheetViews>
  <sheetFormatPr defaultRowHeight="14.4" x14ac:dyDescent="0.3"/>
  <cols>
    <col min="1" max="1" width="13.5546875" bestFit="1" customWidth="1"/>
    <col min="2" max="2" width="5" bestFit="1" customWidth="1"/>
    <col min="3" max="3" width="11.6640625" customWidth="1"/>
    <col min="4" max="4" width="9.44140625" customWidth="1"/>
    <col min="5" max="5" width="11.109375" customWidth="1"/>
    <col min="6" max="6" width="13.88671875" customWidth="1"/>
    <col min="7" max="8" width="11.44140625" customWidth="1"/>
    <col min="9" max="10" width="10.33203125" customWidth="1"/>
    <col min="11" max="11" width="10.88671875" customWidth="1"/>
    <col min="12" max="18" width="10.33203125" customWidth="1"/>
    <col min="19" max="19" width="13" customWidth="1"/>
    <col min="20" max="21" width="10.33203125" customWidth="1"/>
    <col min="22" max="22" width="7.6640625" customWidth="1"/>
    <col min="23" max="24" width="13.109375" customWidth="1"/>
    <col min="25" max="25" width="16.44140625" customWidth="1"/>
    <col min="26" max="26" width="12" customWidth="1"/>
    <col min="27" max="31" width="10.33203125" customWidth="1"/>
    <col min="32" max="32" width="17.88671875" customWidth="1"/>
    <col min="36" max="37" width="6.44140625" bestFit="1" customWidth="1"/>
  </cols>
  <sheetData>
    <row r="1" spans="1:37" ht="61.5" customHeight="1" x14ac:dyDescent="0.3">
      <c r="A1" s="1" t="s">
        <v>0</v>
      </c>
      <c r="B1" s="99" t="s">
        <v>1</v>
      </c>
      <c r="C1" s="66" t="s">
        <v>23</v>
      </c>
      <c r="D1" s="2" t="s">
        <v>25</v>
      </c>
      <c r="E1" s="100" t="s">
        <v>51</v>
      </c>
      <c r="F1" s="2" t="s">
        <v>11</v>
      </c>
      <c r="G1" s="2" t="s">
        <v>26</v>
      </c>
      <c r="H1" s="2" t="s">
        <v>27</v>
      </c>
      <c r="I1" s="2" t="s">
        <v>30</v>
      </c>
      <c r="J1" s="2" t="s">
        <v>5</v>
      </c>
      <c r="K1" s="2" t="s">
        <v>29</v>
      </c>
      <c r="L1" s="2" t="s">
        <v>24</v>
      </c>
      <c r="M1" s="2" t="s">
        <v>6</v>
      </c>
      <c r="N1" s="2" t="s">
        <v>7</v>
      </c>
      <c r="O1" s="2" t="s">
        <v>62</v>
      </c>
      <c r="P1" s="101" t="s">
        <v>64</v>
      </c>
      <c r="Q1" s="101" t="s">
        <v>63</v>
      </c>
      <c r="R1" s="101" t="s">
        <v>31</v>
      </c>
      <c r="S1" s="101" t="s">
        <v>32</v>
      </c>
      <c r="T1" s="101" t="s">
        <v>28</v>
      </c>
      <c r="U1" s="100" t="s">
        <v>10</v>
      </c>
      <c r="V1" s="116" t="s">
        <v>120</v>
      </c>
      <c r="Z1" s="2"/>
      <c r="AA1" s="2"/>
      <c r="AB1" s="2"/>
      <c r="AC1" s="2"/>
      <c r="AD1" s="2"/>
      <c r="AE1" s="2"/>
      <c r="AF1" s="2"/>
      <c r="AG1" s="2"/>
      <c r="AH1" s="2"/>
      <c r="AI1" s="2"/>
      <c r="AJ1" s="2"/>
      <c r="AK1" s="2"/>
    </row>
    <row r="2" spans="1:37" x14ac:dyDescent="0.3">
      <c r="A2" s="19" t="s">
        <v>12</v>
      </c>
      <c r="B2" s="3">
        <v>2007</v>
      </c>
      <c r="C2" s="23">
        <v>212.33333333333331</v>
      </c>
      <c r="D2" s="8"/>
      <c r="E2" s="9"/>
      <c r="F2" s="8"/>
      <c r="G2" s="8"/>
      <c r="H2" s="8"/>
      <c r="I2" s="8"/>
      <c r="J2" s="8">
        <v>0</v>
      </c>
      <c r="K2" s="8"/>
      <c r="L2" s="8">
        <v>0</v>
      </c>
      <c r="M2" s="8"/>
      <c r="N2" s="8"/>
      <c r="O2" s="8"/>
      <c r="P2" s="8"/>
      <c r="Q2" s="8"/>
      <c r="R2" s="8"/>
      <c r="S2" s="8"/>
      <c r="T2" s="8"/>
      <c r="U2" s="9"/>
      <c r="V2" s="13"/>
    </row>
    <row r="3" spans="1:37" x14ac:dyDescent="0.3">
      <c r="A3" s="19" t="s">
        <v>12</v>
      </c>
      <c r="B3" s="3">
        <v>2008</v>
      </c>
      <c r="C3" s="23">
        <v>205</v>
      </c>
      <c r="D3" s="8"/>
      <c r="E3" s="9"/>
      <c r="F3" s="8"/>
      <c r="G3" s="8"/>
      <c r="H3" s="8"/>
      <c r="I3" s="8"/>
      <c r="J3" s="8">
        <v>0</v>
      </c>
      <c r="K3" s="8"/>
      <c r="L3" s="8">
        <v>0</v>
      </c>
      <c r="M3" s="8"/>
      <c r="N3" s="8"/>
      <c r="O3" s="8"/>
      <c r="P3" s="8"/>
      <c r="Q3" s="8"/>
      <c r="R3" s="8"/>
      <c r="S3" s="8"/>
      <c r="T3" s="8"/>
      <c r="U3" s="9"/>
      <c r="V3" s="13">
        <v>170</v>
      </c>
      <c r="X3" s="105" t="s">
        <v>0</v>
      </c>
      <c r="Y3" s="104" t="s">
        <v>117</v>
      </c>
      <c r="AA3" t="str">
        <f>"Annual Waterfall: "&amp;Y4&amp;", "&amp;Y3</f>
        <v>Annual Waterfall: (Multiple Items), (All)</v>
      </c>
    </row>
    <row r="4" spans="1:37" x14ac:dyDescent="0.3">
      <c r="A4" s="19" t="s">
        <v>12</v>
      </c>
      <c r="B4" s="3">
        <v>2009</v>
      </c>
      <c r="C4" s="23">
        <v>224.16666666666666</v>
      </c>
      <c r="D4" s="8">
        <f>2924+4022+536</f>
        <v>7482</v>
      </c>
      <c r="E4" s="9">
        <v>728</v>
      </c>
      <c r="F4" s="8">
        <f>-859-663</f>
        <v>-1522</v>
      </c>
      <c r="G4" s="8">
        <v>-712</v>
      </c>
      <c r="H4" s="8">
        <v>-1107</v>
      </c>
      <c r="I4" s="8">
        <f>-617-983</f>
        <v>-1600</v>
      </c>
      <c r="J4" s="8">
        <f t="shared" ref="J4:J51" si="0">SUM(D4:I4)</f>
        <v>3269</v>
      </c>
      <c r="K4" s="8">
        <v>-3319</v>
      </c>
      <c r="L4" s="8">
        <f>+SUM(J4:K4)</f>
        <v>-50</v>
      </c>
      <c r="M4" s="8">
        <v>-773</v>
      </c>
      <c r="N4" s="8">
        <v>-194</v>
      </c>
      <c r="O4" s="8">
        <f>+SUM(L4:N4)</f>
        <v>-1017</v>
      </c>
      <c r="P4" s="8">
        <f>+Q4-O4</f>
        <v>914</v>
      </c>
      <c r="Q4" s="8">
        <v>-103</v>
      </c>
      <c r="R4" s="8">
        <v>3532</v>
      </c>
      <c r="S4" s="14">
        <f>+T4-SUM(Q4:R4)</f>
        <v>497</v>
      </c>
      <c r="T4" s="14">
        <f>3926</f>
        <v>3926</v>
      </c>
      <c r="U4" s="9">
        <v>4660</v>
      </c>
      <c r="V4" s="13">
        <v>176</v>
      </c>
      <c r="W4" s="18"/>
      <c r="X4" s="105" t="s">
        <v>1</v>
      </c>
      <c r="Y4" s="104" t="s">
        <v>118</v>
      </c>
      <c r="Z4" s="18"/>
    </row>
    <row r="5" spans="1:37" ht="15" thickBot="1" x14ac:dyDescent="0.35">
      <c r="A5" s="19" t="s">
        <v>12</v>
      </c>
      <c r="B5" s="3">
        <v>2010</v>
      </c>
      <c r="C5" s="23">
        <v>235.16666666666666</v>
      </c>
      <c r="D5" s="8">
        <f>3420+5592+997</f>
        <v>10009</v>
      </c>
      <c r="E5" s="9">
        <v>833</v>
      </c>
      <c r="F5" s="8">
        <f>-830-814</f>
        <v>-1644</v>
      </c>
      <c r="G5" s="8">
        <v>-1037</v>
      </c>
      <c r="H5" s="8">
        <v>-974</v>
      </c>
      <c r="I5" s="8">
        <f>-615-967</f>
        <v>-1582</v>
      </c>
      <c r="J5" s="8">
        <f t="shared" si="0"/>
        <v>5605</v>
      </c>
      <c r="K5" s="8">
        <v>-3485</v>
      </c>
      <c r="L5" s="8">
        <f t="shared" ref="L5:L95" si="1">+SUM(J5:K5)</f>
        <v>2120</v>
      </c>
      <c r="M5" s="8">
        <v>-871</v>
      </c>
      <c r="N5" s="14">
        <v>-307</v>
      </c>
      <c r="O5" s="14">
        <f t="shared" ref="O5:O95" si="2">+SUM(L5:N5)</f>
        <v>942</v>
      </c>
      <c r="P5" s="14">
        <f t="shared" ref="P5:P95" si="3">+Q5-O5</f>
        <v>-121</v>
      </c>
      <c r="Q5" s="14">
        <v>821</v>
      </c>
      <c r="R5" s="14">
        <v>3714</v>
      </c>
      <c r="S5" s="14">
        <f t="shared" ref="S5:S95" si="4">+T5-SUM(Q5:R5)</f>
        <v>712</v>
      </c>
      <c r="T5" s="14">
        <f>5247</f>
        <v>5247</v>
      </c>
      <c r="U5" s="9">
        <v>5086</v>
      </c>
      <c r="V5" s="13">
        <v>180</v>
      </c>
      <c r="W5" s="18"/>
      <c r="Z5" s="18"/>
      <c r="AC5" s="80"/>
    </row>
    <row r="6" spans="1:37" x14ac:dyDescent="0.3">
      <c r="A6" s="19" t="s">
        <v>12</v>
      </c>
      <c r="B6" s="3">
        <v>2011</v>
      </c>
      <c r="C6" s="23">
        <v>246</v>
      </c>
      <c r="D6" s="8">
        <f>3300+8072+1462</f>
        <v>12834</v>
      </c>
      <c r="E6" s="9">
        <v>1048</v>
      </c>
      <c r="F6" s="8">
        <f>-993-890</f>
        <v>-1883</v>
      </c>
      <c r="G6" s="8">
        <v>-1457</v>
      </c>
      <c r="H6" s="10">
        <v>-1076</v>
      </c>
      <c r="I6" s="8">
        <f>-791-1060</f>
        <v>-1851</v>
      </c>
      <c r="J6" s="8">
        <f t="shared" si="0"/>
        <v>7615</v>
      </c>
      <c r="K6" s="8">
        <v>-3584</v>
      </c>
      <c r="L6" s="8">
        <f t="shared" si="1"/>
        <v>4031</v>
      </c>
      <c r="M6" s="8">
        <v>-986</v>
      </c>
      <c r="N6" s="14">
        <v>-262</v>
      </c>
      <c r="O6" s="14">
        <f t="shared" si="2"/>
        <v>2783</v>
      </c>
      <c r="P6" s="14">
        <f t="shared" si="3"/>
        <v>-215</v>
      </c>
      <c r="Q6" s="14">
        <v>2568</v>
      </c>
      <c r="R6" s="14">
        <v>3830</v>
      </c>
      <c r="S6" s="14">
        <f t="shared" si="4"/>
        <v>-3893</v>
      </c>
      <c r="T6" s="14">
        <f>2505</f>
        <v>2505</v>
      </c>
      <c r="U6" s="9">
        <v>5641</v>
      </c>
      <c r="V6" s="13">
        <v>181</v>
      </c>
      <c r="W6" s="18"/>
      <c r="X6" s="105" t="s">
        <v>4</v>
      </c>
      <c r="AB6" t="s">
        <v>55</v>
      </c>
      <c r="AC6" s="31" t="s">
        <v>56</v>
      </c>
      <c r="AD6" s="32" t="s">
        <v>58</v>
      </c>
      <c r="AE6" s="31" t="s">
        <v>57</v>
      </c>
      <c r="AF6" s="32" t="s">
        <v>59</v>
      </c>
    </row>
    <row r="7" spans="1:37" x14ac:dyDescent="0.3">
      <c r="A7" s="20" t="s">
        <v>12</v>
      </c>
      <c r="B7" s="4">
        <v>2012</v>
      </c>
      <c r="C7" s="24">
        <v>267.66666666666663</v>
      </c>
      <c r="D7" s="10">
        <f>2444+8728+1224</f>
        <v>12396</v>
      </c>
      <c r="E7" s="9">
        <v>911</v>
      </c>
      <c r="F7" s="10">
        <f>-976-953</f>
        <v>-1929</v>
      </c>
      <c r="G7" s="10">
        <v>-1180</v>
      </c>
      <c r="H7" s="10">
        <v>-1946</v>
      </c>
      <c r="I7" s="10">
        <v>-2009</v>
      </c>
      <c r="J7" s="10">
        <f t="shared" si="0"/>
        <v>6243</v>
      </c>
      <c r="K7" s="10">
        <v>-3710</v>
      </c>
      <c r="L7" s="8">
        <f t="shared" si="1"/>
        <v>2533</v>
      </c>
      <c r="M7" s="8">
        <v>-963</v>
      </c>
      <c r="N7" s="14">
        <v>300</v>
      </c>
      <c r="O7" s="14">
        <f t="shared" si="2"/>
        <v>1870</v>
      </c>
      <c r="P7" s="14">
        <f t="shared" si="3"/>
        <v>575</v>
      </c>
      <c r="Q7" s="14">
        <v>2445</v>
      </c>
      <c r="R7" s="14">
        <v>3964</v>
      </c>
      <c r="S7" s="14">
        <f t="shared" si="4"/>
        <v>1930</v>
      </c>
      <c r="T7" s="14">
        <f>8339</f>
        <v>8339</v>
      </c>
      <c r="U7" s="9">
        <v>6367</v>
      </c>
      <c r="V7" s="13">
        <v>181</v>
      </c>
      <c r="W7" s="18"/>
      <c r="X7" s="106" t="s">
        <v>34</v>
      </c>
      <c r="Y7" s="109">
        <v>48.17129388028259</v>
      </c>
      <c r="AA7" t="s">
        <v>98</v>
      </c>
      <c r="AB7" s="5">
        <f>+Y7</f>
        <v>48.17129388028259</v>
      </c>
      <c r="AC7" s="33"/>
      <c r="AD7" s="34"/>
      <c r="AE7" s="33">
        <f>+Y24</f>
        <v>6.5837701055279672</v>
      </c>
      <c r="AF7" s="34"/>
    </row>
    <row r="8" spans="1:37" x14ac:dyDescent="0.3">
      <c r="A8" s="19" t="s">
        <v>12</v>
      </c>
      <c r="B8" s="3">
        <v>2013</v>
      </c>
      <c r="C8" s="23">
        <v>283.83333333333337</v>
      </c>
      <c r="D8" s="8">
        <f>3388+9178+1262</f>
        <v>13828</v>
      </c>
      <c r="E8" s="11">
        <v>1039</v>
      </c>
      <c r="F8" s="8">
        <f>-1092-981-87</f>
        <v>-2160</v>
      </c>
      <c r="G8" s="8">
        <v>-1024</v>
      </c>
      <c r="H8" s="8">
        <v>-1329</v>
      </c>
      <c r="I8" s="8">
        <v>-1959</v>
      </c>
      <c r="J8" s="8">
        <f t="shared" si="0"/>
        <v>8395</v>
      </c>
      <c r="K8" s="8">
        <v>-3621</v>
      </c>
      <c r="L8" s="8">
        <f t="shared" si="1"/>
        <v>4774</v>
      </c>
      <c r="M8" s="10">
        <v>-949</v>
      </c>
      <c r="N8" s="14">
        <v>-169</v>
      </c>
      <c r="O8" s="14">
        <f t="shared" si="2"/>
        <v>3656</v>
      </c>
      <c r="P8" s="14">
        <f t="shared" si="3"/>
        <v>-2715</v>
      </c>
      <c r="Q8" s="14">
        <v>941</v>
      </c>
      <c r="R8" s="14">
        <v>3927</v>
      </c>
      <c r="S8" s="14">
        <f t="shared" si="4"/>
        <v>4020</v>
      </c>
      <c r="T8" s="14">
        <f>8888</f>
        <v>8888</v>
      </c>
      <c r="U8" s="11">
        <v>7486</v>
      </c>
      <c r="V8" s="13">
        <v>274</v>
      </c>
      <c r="W8" s="18"/>
      <c r="X8" s="106" t="s">
        <v>35</v>
      </c>
      <c r="Y8" s="109">
        <v>-10.816361889855152</v>
      </c>
      <c r="AA8" t="s">
        <v>99</v>
      </c>
      <c r="AB8" s="88">
        <f>+IF(AND(AB7&gt;0,Y8&lt;0,-Y8&gt;AB7+AE7),0,IF(AND(AB7&gt;0,Y8&lt;0,-Y8&lt;AB7),AB7+AE7+Y8,IF(AND(AB7&gt;0,Y8&gt;0),AB7+AE7+AD7,IF(AND(AB7&lt;0,Y8&lt;0),AB7+AD7,IF(AND(AB7&lt;0,Y8&gt;0,Y8&gt;-AB7-AD7),0,IF(AND(Y8&lt;0,AB7=0,AE7&gt;0,-Y8&gt;AE7),0,IF(AND(Y8&lt;0,AB7=0,AE7&gt;0,-Y8&lt;AE7),Y8+AE7,IF(AND(Y8&lt;0,AB7=0,AD7&lt;0),AD7,IF(AND(Y8&gt;0,AB124,AD7&lt;0,Y8&gt;-AD7),0,IF(AND(Y8&gt;0,AB7=0,AD7&lt;0,Y8&lt;-AD7),-Y8-AD7,IF(AND(Y8&gt;0,AB7=0,AE7&gt;0),AE7,AB7+AE7+Y8)))))))))))</f>
        <v>43.938702095955406</v>
      </c>
      <c r="AC8" s="89">
        <f>+IF(AND(Y8&lt;0,AB7+AE7&gt;0,AB7+AE7&gt;-Y8),-Y8,IF(AND(Y8&lt;0,AB7+AE7&gt;0,AB7+AE7&lt;-Y8),AB7+AE7,0))</f>
        <v>10.816361889855152</v>
      </c>
      <c r="AD8" s="90">
        <f>IF(AND(Y8&lt;0,AB7&gt;0,AB7+AE7&lt;-Y8),Y8+AB7+AE7,IF(AND(Y8&lt;0,AB7&lt;0),Y8,IF(AND(Y8&lt;0,AB7=0,AE7&gt;0,-Y8&gt;AE7),Y8+AE7,IF(AND(Y8&lt;0,AB7=0,AD7&lt;0),Y8,0))))</f>
        <v>0</v>
      </c>
      <c r="AE8" s="89">
        <f>+IF(AND(Y8&gt;0,AB7&gt;0),Y8,IF(AND(Y8&gt;0,AB7=0,AE7&gt;0),Y8,IF(AND(Y8&gt;0,AB7+AD7&lt;0,Y8&gt;ABS(AB7+AD7)),Y8+AB7+AD7,0)))</f>
        <v>0</v>
      </c>
      <c r="AF8" s="90">
        <f t="shared" ref="AF8:AF11" si="5">+IF(AND(Y8&gt;0,AB7&lt;0,Y8&gt;ABS(AB7+AD7)),AB7,IF(AND(Y8&gt;0,AB7&lt;0,Y8&lt;ABS(AB7+AD7)),-Y8,IF(AND(Y8&gt;0,AB7=0,AD7&lt;0,Y8&gt;-AD142),AD7,0)))</f>
        <v>0</v>
      </c>
    </row>
    <row r="9" spans="1:37" x14ac:dyDescent="0.3">
      <c r="A9" s="19" t="s">
        <v>12</v>
      </c>
      <c r="B9" s="3">
        <v>2014</v>
      </c>
      <c r="C9" s="23">
        <v>311.5</v>
      </c>
      <c r="D9" s="8">
        <v>15169</v>
      </c>
      <c r="E9" s="11">
        <v>1206</v>
      </c>
      <c r="F9" s="8">
        <f>-1171-1117-163</f>
        <v>-2451</v>
      </c>
      <c r="G9" s="8">
        <v>-1187</v>
      </c>
      <c r="H9" s="8">
        <v>-1639</v>
      </c>
      <c r="I9" s="8">
        <v>-2346</v>
      </c>
      <c r="J9" s="8">
        <f t="shared" si="0"/>
        <v>8752</v>
      </c>
      <c r="K9" s="8">
        <v>-4181</v>
      </c>
      <c r="L9" s="8">
        <f>+SUM(J9:K9)</f>
        <v>4571</v>
      </c>
      <c r="M9" s="8">
        <v>-973</v>
      </c>
      <c r="N9" s="15">
        <v>-956</v>
      </c>
      <c r="O9" s="15">
        <f t="shared" si="2"/>
        <v>2642</v>
      </c>
      <c r="P9" s="15">
        <f t="shared" si="3"/>
        <v>-4205</v>
      </c>
      <c r="Q9" s="14">
        <v>-1563</v>
      </c>
      <c r="R9" s="14">
        <v>4550</v>
      </c>
      <c r="S9" s="14">
        <f t="shared" si="4"/>
        <v>5479</v>
      </c>
      <c r="T9" s="14">
        <v>8466</v>
      </c>
      <c r="U9" s="11">
        <v>8712</v>
      </c>
      <c r="V9" s="13">
        <v>505</v>
      </c>
      <c r="W9" s="18"/>
      <c r="X9" s="106" t="s">
        <v>33</v>
      </c>
      <c r="Y9" s="109">
        <v>-2.0369996370986718</v>
      </c>
      <c r="AA9" t="s">
        <v>100</v>
      </c>
      <c r="AB9" s="88">
        <f>+IF(AND(AB8&gt;0,Y9&lt;0,-Y9&gt;AB8+AE8),0,IF(AND(AB8&gt;0,Y9&lt;0,-Y9&lt;AB8),AB8+AE8+Y9,IF(AND(AB8&gt;0,Y9&gt;0),AB8+AE8+AD8,IF(AND(AB8&lt;0,Y9&lt;0),AB8+AD8,IF(AND(AB8&lt;0,Y9&gt;0,Y9&gt;-AB8-AD8),0,IF(AND(Y9&lt;0,AB8=0,AE8&gt;0,-Y9&gt;AE8),0,IF(AND(Y9&lt;0,AB8=0,AE8&gt;0,-Y9&lt;AE8),Y9+AE8,IF(AND(Y9&lt;0,AB8=0,AD8&lt;0),AD8,IF(AND(Y9&gt;0,AB125,AD8&lt;0,Y9&gt;-AD8),0,IF(AND(Y9&gt;0,AB8=0,AD8&lt;0,Y9&lt;-AD8),-Y9-AD8,IF(AND(Y9&gt;0,AB8=0,AE8&gt;0),AE8,AB8+AE8+Y9)))))))))))</f>
        <v>41.901702458856732</v>
      </c>
      <c r="AC9" s="89">
        <f>+IF(AND(Y9&lt;0,AB8+AE8&gt;0,AB8+AE8&gt;-Y9),-Y9,IF(AND(Y9&lt;0,AB8+AE8&gt;0,AB8+AE8&lt;-Y9),AB8+AE8,0))</f>
        <v>2.0369996370986718</v>
      </c>
      <c r="AD9" s="90">
        <f>IF(AND(Y9&lt;0,AB8&gt;0,AB8+AE8&lt;-Y9),Y9+AB8+AE8,IF(AND(Y9&lt;0,AB8&lt;0),Y9,IF(AND(Y9&lt;0,AB8=0,AE8&gt;0,-Y9&gt;AE8),Y9+AE8,IF(AND(Y9&lt;0,AB8=0,AD8&lt;0),Y9,0))))</f>
        <v>0</v>
      </c>
      <c r="AE9" s="89">
        <f>+IF(AND(Y9&gt;0,AB8&gt;0),Y9,IF(AND(Y9&gt;0,AB8=0,AE8&gt;0),Y9,IF(AND(Y9&gt;0,AB8+AD8&lt;0,Y9&gt;ABS(AB8+AD8)),Y9+AB8+AD8,0)))</f>
        <v>0</v>
      </c>
      <c r="AF9" s="90">
        <f t="shared" si="5"/>
        <v>0</v>
      </c>
    </row>
    <row r="10" spans="1:37" x14ac:dyDescent="0.3">
      <c r="A10" s="19" t="s">
        <v>12</v>
      </c>
      <c r="B10" s="3">
        <v>2015</v>
      </c>
      <c r="C10" s="23">
        <v>306</v>
      </c>
      <c r="D10" s="8">
        <v>8260</v>
      </c>
      <c r="E10" s="11">
        <v>1226</v>
      </c>
      <c r="F10" s="8">
        <f>-1014-1117-150</f>
        <v>-2281</v>
      </c>
      <c r="G10" s="8">
        <v>-488</v>
      </c>
      <c r="H10" s="8">
        <v>-2644</v>
      </c>
      <c r="I10" s="8">
        <f>-1054-1176</f>
        <v>-2230</v>
      </c>
      <c r="J10" s="8">
        <f t="shared" si="0"/>
        <v>1843</v>
      </c>
      <c r="K10" s="8">
        <v>-4184</v>
      </c>
      <c r="L10" s="8">
        <f t="shared" si="1"/>
        <v>-2341</v>
      </c>
      <c r="M10" s="8">
        <v>-989</v>
      </c>
      <c r="N10" s="15">
        <v>-26</v>
      </c>
      <c r="O10" s="15">
        <f t="shared" si="2"/>
        <v>-3356</v>
      </c>
      <c r="P10" s="15">
        <f t="shared" si="3"/>
        <v>-3456</v>
      </c>
      <c r="Q10" s="15">
        <v>-6812</v>
      </c>
      <c r="R10" s="15">
        <v>4603</v>
      </c>
      <c r="S10" s="15">
        <f t="shared" si="4"/>
        <v>332</v>
      </c>
      <c r="T10" s="15">
        <v>-1877</v>
      </c>
      <c r="U10" s="11">
        <v>5753</v>
      </c>
      <c r="V10" s="13">
        <v>553</v>
      </c>
      <c r="W10" s="18"/>
      <c r="X10" s="106" t="s">
        <v>36</v>
      </c>
      <c r="Y10" s="109">
        <v>-2.7298183337375126</v>
      </c>
      <c r="AA10" t="s">
        <v>54</v>
      </c>
      <c r="AB10" s="88">
        <f>+IF(AND(AB9&gt;0,Y10&lt;0,-Y10&gt;AB9+AE9),0,IF(AND(AB9&gt;0,Y10&lt;0,-Y10&lt;AB9),AB9+AE9+Y10,IF(AND(AB9&gt;0,Y10&gt;0),AB9+AE9+AD9,IF(AND(AB9&lt;0,Y10&lt;0),AB9+AD9,IF(AND(AB9&lt;0,Y10&gt;0,Y10&gt;-AB9-AD9),0,IF(AND(Y10&lt;0,AB9=0,AE9&gt;0,-Y10&gt;AE9),0,IF(AND(Y10&lt;0,AB9=0,AE9&gt;0,-Y10&lt;AE9),Y10+AE9,IF(AND(Y10&lt;0,AB9=0,AD9&lt;0),AD9,IF(AND(Y10&gt;0,AB126,AD9&lt;0,Y10&gt;-AD9),0,IF(AND(Y10&gt;0,AB9=0,AD9&lt;0,Y10&lt;-AD9),-Y10-AD9,IF(AND(Y10&gt;0,AB9=0,AE9&gt;0),AE9,AB9+AE9+Y10)))))))))))</f>
        <v>39.17188412511922</v>
      </c>
      <c r="AC10" s="89">
        <f>+IF(AND(Y10&lt;0,AB9+AE9&gt;0,AB9+AE9&gt;-Y10),-Y10,IF(AND(Y10&lt;0,AB9+AE9&gt;0,AB9+AE9&lt;-Y10),AB9+AE9,0))</f>
        <v>2.7298183337375126</v>
      </c>
      <c r="AD10" s="90">
        <f>IF(AND(Y10&lt;0,AB9&gt;0,AB9+AE9&lt;-Y10),Y10+AB9+AE9,IF(AND(Y10&lt;0,AB9&lt;0),Y10,IF(AND(Y10&lt;0,AB9=0,AE9&gt;0,-Y10&gt;AE9),Y10+AE9,IF(AND(Y10&lt;0,AB9=0,AD9&lt;0),Y10,0))))</f>
        <v>0</v>
      </c>
      <c r="AE10" s="89">
        <f>+IF(AND(Y10&gt;0,AB9&gt;0),Y10,IF(AND(Y10&gt;0,AB9=0,AE9&gt;0),Y10,IF(AND(Y10&gt;0,AB9+AD9&lt;0,Y10&gt;ABS(AB9+AD9)),Y10+AB9+AD9,0)))</f>
        <v>0</v>
      </c>
      <c r="AF10" s="90">
        <f t="shared" si="5"/>
        <v>0</v>
      </c>
    </row>
    <row r="11" spans="1:37" x14ac:dyDescent="0.3">
      <c r="A11" s="21" t="s">
        <v>12</v>
      </c>
      <c r="B11" s="94">
        <v>2016</v>
      </c>
      <c r="C11" s="95">
        <v>291</v>
      </c>
      <c r="D11" s="96">
        <v>7153</v>
      </c>
      <c r="E11" s="97">
        <v>1294</v>
      </c>
      <c r="F11" s="96">
        <f>-811-1002-62</f>
        <v>-1875</v>
      </c>
      <c r="G11" s="96">
        <v>-471</v>
      </c>
      <c r="H11" s="96">
        <v>-946</v>
      </c>
      <c r="I11" s="96">
        <f>-1087-1440</f>
        <v>-2527</v>
      </c>
      <c r="J11" s="96">
        <f t="shared" si="0"/>
        <v>2628</v>
      </c>
      <c r="K11" s="96">
        <v>-3907</v>
      </c>
      <c r="L11" s="96">
        <f t="shared" si="1"/>
        <v>-1279</v>
      </c>
      <c r="M11" s="96">
        <v>-1022</v>
      </c>
      <c r="N11" s="98">
        <v>-882</v>
      </c>
      <c r="O11" s="98">
        <f t="shared" si="2"/>
        <v>-3183</v>
      </c>
      <c r="P11" s="98">
        <f t="shared" si="3"/>
        <v>375</v>
      </c>
      <c r="Q11" s="98">
        <v>-2808</v>
      </c>
      <c r="R11" s="98">
        <v>4301</v>
      </c>
      <c r="S11" s="98">
        <f t="shared" si="4"/>
        <v>1507</v>
      </c>
      <c r="T11" s="98">
        <v>3000</v>
      </c>
      <c r="U11" s="97">
        <v>5633</v>
      </c>
      <c r="V11" s="13">
        <v>105</v>
      </c>
      <c r="W11" s="18"/>
      <c r="X11" s="106" t="s">
        <v>37</v>
      </c>
      <c r="Y11" s="109">
        <v>-7.3508861983435283</v>
      </c>
      <c r="AA11" t="s">
        <v>101</v>
      </c>
      <c r="AB11" s="88">
        <f>+IF(AND(AB10&gt;0,Y11&lt;0,-Y11&gt;AB10+AE10),0,IF(AND(AB10&gt;0,Y11&lt;0,-Y11&lt;AB10),AB10+AE10+Y11,IF(AND(AB10&gt;0,Y11&gt;0),AB10+AE10+AD10,IF(AND(AB10&lt;0,Y11&lt;0),AB10+AD10,IF(AND(AB10&lt;0,Y11&gt;0,Y11&gt;-AB10-AD10),0,IF(AND(Y11&lt;0,AB10=0,AE10&gt;0,-Y11&gt;AE10),0,IF(AND(Y11&lt;0,AB10=0,AE10&gt;0,-Y11&lt;AE10),Y11+AE10,IF(AND(Y11&lt;0,AB10=0,AD10&lt;0),AD10,IF(AND(Y11&gt;0,AB127,AD10&lt;0,Y11&gt;-AD10),0,IF(AND(Y11&gt;0,AB10=0,AD10&lt;0,Y11&lt;-AD10),-Y11-AD10,IF(AND(Y11&gt;0,AB10=0,AE10&gt;0),AE10,AB10+AE10+Y11)))))))))))</f>
        <v>31.820997926775693</v>
      </c>
      <c r="AC11" s="89">
        <f>+IF(AND(Y11&lt;0,AB10+AE10&gt;0,AB10+AE10&gt;-Y11),-Y11,IF(AND(Y11&lt;0,AB10+AE10&gt;0,AB10+AE10&lt;-Y11),AB10+AE10,0))</f>
        <v>7.3508861983435283</v>
      </c>
      <c r="AD11" s="90">
        <f>IF(AND(Y11&lt;0,AB10&gt;0,AB10+AE10&lt;-Y11),Y11+AB10+AE10,IF(AND(Y11&lt;0,AB10&lt;0),Y11,IF(AND(Y11&lt;0,AB10=0,AE10&gt;0,-Y11&gt;AE10),Y11+AE10,IF(AND(Y11&lt;0,AB10=0,AD10&lt;0),Y11,0))))</f>
        <v>0</v>
      </c>
      <c r="AE11" s="89">
        <f>+IF(AND(Y11&gt;0,AB10&gt;0),Y11,IF(AND(Y11&gt;0,AB10=0,AE10&gt;0),Y11,IF(AND(Y11&gt;0,AB10+AD10&lt;0,Y11&gt;ABS(AB10+AD10)),Y11+AB10+AD10,0)))</f>
        <v>0</v>
      </c>
      <c r="AF11" s="90">
        <f t="shared" si="5"/>
        <v>0</v>
      </c>
    </row>
    <row r="12" spans="1:37" x14ac:dyDescent="0.3">
      <c r="A12" s="19" t="s">
        <v>13</v>
      </c>
      <c r="B12" s="3">
        <v>2007</v>
      </c>
      <c r="C12" s="23">
        <v>204.85166666666666</v>
      </c>
      <c r="D12" s="8"/>
      <c r="E12" s="9"/>
      <c r="F12" s="8">
        <v>0</v>
      </c>
      <c r="G12" s="8">
        <v>0</v>
      </c>
      <c r="H12" s="8">
        <v>0</v>
      </c>
      <c r="I12" s="8">
        <v>0</v>
      </c>
      <c r="J12" s="8">
        <f t="shared" si="0"/>
        <v>0</v>
      </c>
      <c r="K12" s="8"/>
      <c r="L12" s="8">
        <f t="shared" si="1"/>
        <v>0</v>
      </c>
      <c r="M12" s="8">
        <v>0</v>
      </c>
      <c r="N12" s="8">
        <v>0</v>
      </c>
      <c r="O12" s="8">
        <f>+SUM(L12:N12)</f>
        <v>0</v>
      </c>
      <c r="P12" s="8">
        <f t="shared" si="3"/>
        <v>0</v>
      </c>
      <c r="Q12" s="8"/>
      <c r="R12" s="8">
        <v>0</v>
      </c>
      <c r="S12" s="8">
        <f t="shared" si="4"/>
        <v>0</v>
      </c>
      <c r="T12" s="8"/>
      <c r="U12" s="9"/>
      <c r="V12" s="13"/>
      <c r="W12" s="18"/>
      <c r="X12" s="106" t="s">
        <v>38</v>
      </c>
      <c r="Y12" s="109">
        <v>31.860722637907756</v>
      </c>
      <c r="AA12" s="28" t="s">
        <v>61</v>
      </c>
      <c r="AB12" s="91">
        <f>+Y12</f>
        <v>31.860722637907756</v>
      </c>
      <c r="AC12" s="92"/>
      <c r="AD12" s="93"/>
      <c r="AE12" s="92"/>
      <c r="AF12" s="93"/>
    </row>
    <row r="13" spans="1:37" x14ac:dyDescent="0.3">
      <c r="A13" s="19" t="s">
        <v>13</v>
      </c>
      <c r="B13" s="3">
        <v>2008</v>
      </c>
      <c r="C13" s="23">
        <v>195.59316666666666</v>
      </c>
      <c r="D13" s="8"/>
      <c r="E13" s="9"/>
      <c r="F13" s="8">
        <v>0</v>
      </c>
      <c r="G13" s="8">
        <v>0</v>
      </c>
      <c r="H13" s="8">
        <v>0</v>
      </c>
      <c r="I13" s="8">
        <v>0</v>
      </c>
      <c r="J13" s="8">
        <f t="shared" si="0"/>
        <v>0</v>
      </c>
      <c r="K13" s="8"/>
      <c r="L13" s="8">
        <f t="shared" si="1"/>
        <v>0</v>
      </c>
      <c r="M13" s="8">
        <v>0</v>
      </c>
      <c r="N13" s="8">
        <v>0</v>
      </c>
      <c r="O13" s="8">
        <f t="shared" si="2"/>
        <v>0</v>
      </c>
      <c r="P13" s="8">
        <f t="shared" si="3"/>
        <v>0</v>
      </c>
      <c r="Q13" s="8"/>
      <c r="R13" s="8">
        <v>0</v>
      </c>
      <c r="S13" s="8">
        <f t="shared" si="4"/>
        <v>0</v>
      </c>
      <c r="T13" s="8"/>
      <c r="U13" s="9"/>
      <c r="V13" s="13">
        <v>239</v>
      </c>
      <c r="W13" s="18"/>
      <c r="X13" s="106" t="s">
        <v>39</v>
      </c>
      <c r="Y13" s="109">
        <v>-13.116196661216655</v>
      </c>
      <c r="AA13" t="s">
        <v>48</v>
      </c>
      <c r="AB13" s="88">
        <f>+IF(AND(AB12&gt;0,Y13&lt;0,-Y13&gt;AB12+AE12),0,IF(AND(AB12&gt;0,Y13&lt;0,-Y13&lt;AB12),AB12+AE12+Y13,IF(AND(AB12&gt;0,Y13&gt;0),AB12+AE12+AD12,IF(AND(AB12&lt;0,Y13&lt;0),AB12+AD12,IF(AND(AB12&lt;0,Y13&gt;0,Y13&gt;-AB12-AD12),0,IF(AND(Y13&lt;0,AB12=0,AE12&gt;0,-Y13&gt;AE12),0,IF(AND(Y13&lt;0,AB12=0,AE12&gt;0,-Y13&lt;AE12),Y13+AE12,IF(AND(Y13&lt;0,AB12=0,AD12&lt;0),AD12,IF(AND(Y13&gt;0,AB129,AD12&lt;0,Y13&gt;-AD12),0,IF(AND(Y13&gt;0,AB12=0,AD12&lt;0,Y13&lt;-AD12),-Y13-AD12,IF(AND(Y13&gt;0,AB12=0,AE12&gt;0),AE12,AB12+AE12+Y13)))))))))))</f>
        <v>18.744525976691101</v>
      </c>
      <c r="AC13" s="89">
        <f>+IF(AND(Y13&lt;0,AB12+AE12&gt;0,AB12+AE12&gt;-Y13),-Y13,IF(AND(Y13&lt;0,AB12+AE12&gt;0,AB12+AE12&lt;-Y13),AB12+AE12,0))</f>
        <v>13.116196661216655</v>
      </c>
      <c r="AD13" s="90">
        <f>IF(AND(Y13&lt;0,AB12&gt;0,AB12+AE12&lt;-Y13),Y13+AB12+AE12,IF(AND(Y13&lt;0,AB12&lt;0),Y13,IF(AND(Y13&lt;0,AB12=0,AE12&gt;0,-Y13&gt;AE12),Y13+AE12,IF(AND(Y13&lt;0,AB12=0,AD12&lt;0),Y13,0))))</f>
        <v>0</v>
      </c>
      <c r="AE13" s="89">
        <f>+IF(AND(Y13&gt;0,AB12&gt;0),Y13,IF(AND(Y13&gt;0,AB12=0,AE12&gt;0),Y13,IF(AND(Y13&gt;0,AB12+AD12&lt;0,Y13&gt;ABS(AB12+AD12)),Y13+AB12+AD12,0)))</f>
        <v>0</v>
      </c>
      <c r="AF13" s="90">
        <f>+IF(AND(Y13&gt;0,AB12&lt;0,Y13&gt;ABS(AB12+AD12)),AB12,IF(AND(Y13&gt;0,AB12&lt;0,Y13&lt;ABS(AB12+AD12)),-Y13,IF(AND(Y13&gt;0,AB12=0,AD12&lt;0,Y13&gt;-AD147),AD12,0)))</f>
        <v>0</v>
      </c>
    </row>
    <row r="14" spans="1:37" x14ac:dyDescent="0.3">
      <c r="A14" s="19" t="s">
        <v>13</v>
      </c>
      <c r="B14" s="3">
        <v>2009</v>
      </c>
      <c r="C14" s="23">
        <v>212.91449999999998</v>
      </c>
      <c r="D14" s="8">
        <v>8574</v>
      </c>
      <c r="E14" s="9">
        <v>0</v>
      </c>
      <c r="F14" s="8">
        <v>-1805</v>
      </c>
      <c r="G14" s="8">
        <v>-580</v>
      </c>
      <c r="H14" s="8">
        <v>0</v>
      </c>
      <c r="I14" s="8">
        <v>-344</v>
      </c>
      <c r="J14" s="8">
        <f t="shared" si="0"/>
        <v>5845</v>
      </c>
      <c r="K14" s="8">
        <v>-2395</v>
      </c>
      <c r="L14" s="8">
        <f t="shared" si="1"/>
        <v>3450</v>
      </c>
      <c r="M14" s="8">
        <v>-309</v>
      </c>
      <c r="N14" s="14">
        <v>-686</v>
      </c>
      <c r="O14" s="14">
        <f t="shared" si="2"/>
        <v>2455</v>
      </c>
      <c r="P14" s="14">
        <f t="shared" si="3"/>
        <v>-2740</v>
      </c>
      <c r="Q14" s="14">
        <v>-285</v>
      </c>
      <c r="R14" s="14">
        <v>2395</v>
      </c>
      <c r="S14" s="14">
        <f t="shared" si="4"/>
        <v>2114</v>
      </c>
      <c r="T14" s="14">
        <f>4224</f>
        <v>4224</v>
      </c>
      <c r="U14" s="9">
        <f>3809-61-293</f>
        <v>3455</v>
      </c>
      <c r="V14" s="13">
        <v>209</v>
      </c>
      <c r="W14" s="18"/>
      <c r="X14" s="106" t="s">
        <v>40</v>
      </c>
      <c r="Y14" s="109">
        <v>18.744525976691101</v>
      </c>
      <c r="AA14" s="28" t="s">
        <v>24</v>
      </c>
      <c r="AB14" s="91">
        <f>+Y14</f>
        <v>18.744525976691101</v>
      </c>
      <c r="AC14" s="92"/>
      <c r="AD14" s="93"/>
      <c r="AE14" s="92"/>
      <c r="AF14" s="93"/>
    </row>
    <row r="15" spans="1:37" x14ac:dyDescent="0.3">
      <c r="A15" s="19" t="s">
        <v>13</v>
      </c>
      <c r="B15" s="3">
        <v>2010</v>
      </c>
      <c r="C15" s="23">
        <v>240.03650000000002</v>
      </c>
      <c r="D15" s="8">
        <v>12183</v>
      </c>
      <c r="E15" s="9">
        <v>0</v>
      </c>
      <c r="F15" s="8">
        <v>-2210</v>
      </c>
      <c r="G15" s="8">
        <v>-690</v>
      </c>
      <c r="H15" s="8">
        <v>0</v>
      </c>
      <c r="I15" s="8">
        <v>-380</v>
      </c>
      <c r="J15" s="8">
        <f t="shared" si="0"/>
        <v>8903</v>
      </c>
      <c r="K15" s="8">
        <v>-3083</v>
      </c>
      <c r="L15" s="8">
        <f t="shared" si="1"/>
        <v>5820</v>
      </c>
      <c r="M15" s="8">
        <v>-345</v>
      </c>
      <c r="N15" s="14">
        <v>-1170</v>
      </c>
      <c r="O15" s="14">
        <f t="shared" si="2"/>
        <v>4305</v>
      </c>
      <c r="P15" s="14">
        <f t="shared" si="3"/>
        <v>-1273</v>
      </c>
      <c r="Q15" s="14">
        <v>3032</v>
      </c>
      <c r="R15" s="14">
        <v>3083</v>
      </c>
      <c r="S15" s="14">
        <f t="shared" si="4"/>
        <v>611</v>
      </c>
      <c r="T15" s="14">
        <f>6726</f>
        <v>6726</v>
      </c>
      <c r="U15" s="9">
        <f>17208-111-1306</f>
        <v>15791</v>
      </c>
      <c r="V15" s="13">
        <v>226</v>
      </c>
      <c r="W15" s="18"/>
      <c r="X15" s="106" t="s">
        <v>41</v>
      </c>
      <c r="Y15" s="109">
        <v>-2.3405770287930228</v>
      </c>
      <c r="AA15" t="s">
        <v>67</v>
      </c>
      <c r="AB15" s="88">
        <f>+IF(AND(AB14&gt;0,Y15&lt;0,-Y15&gt;AB14+AE14),0,IF(AND(AB14&gt;0,Y15&lt;0,-Y15&lt;AB14),AB14+AE14+Y15,IF(AND(AB14&gt;0,Y15&gt;0),AB14+AE14+AD14,IF(AND(AB14&lt;0,Y15&lt;0),AB14+AD14,IF(AND(AB14&lt;0,Y15&gt;0,Y15&gt;-AB14-AD14),0,IF(AND(Y15&lt;0,AB14=0,AE14&gt;0,-Y15&gt;AE14),0,IF(AND(Y15&lt;0,AB14=0,AE14&gt;0,-Y15&lt;AE14),Y15+AE14,IF(AND(Y15&lt;0,AB14=0,AD14&lt;0),AD14,IF(AND(Y15&gt;0,AB131,AD14&lt;0,Y15&gt;-AD14),0,IF(AND(Y15&gt;0,AB14=0,AD14&lt;0,Y15&lt;-AD14),-Y15-AD14,IF(AND(Y15&gt;0,AB14=0,AE14&gt;0),AE14,AB14+AE14+Y15)))))))))))</f>
        <v>16.40394894789808</v>
      </c>
      <c r="AC15" s="89">
        <f>+IF(AND(Y15&lt;0,AB14+AE14&gt;0,AB14+AE14&gt;-Y15),-Y15,IF(AND(Y15&lt;0,AB14+AE14&gt;0,AB14+AE14&lt;-Y15),AB14+AE14,0))</f>
        <v>2.3405770287930228</v>
      </c>
      <c r="AD15" s="90">
        <f>IF(AND(Y15&lt;0,AB14&gt;0,AB14+AE14&lt;-Y15),Y15+AB14+AE14,IF(AND(Y15&lt;0,AB14&lt;0),Y15,IF(AND(Y15&lt;0,AB14=0,AE14&gt;0,-Y15&gt;AE14),Y15+AE14,IF(AND(Y15&lt;0,AB14=0,AD14&lt;0),Y15,0))))</f>
        <v>0</v>
      </c>
      <c r="AE15" s="89">
        <f>+IF(AND(Y15&gt;0,AB14&gt;0),Y15,IF(AND(Y15&gt;0,AB14=0,AE14&gt;0),Y15,IF(AND(Y15&gt;0,AB14+AD14&lt;0,Y15&gt;ABS(AB14+AD14)),Y15+AB14+AD14,0)))</f>
        <v>0</v>
      </c>
      <c r="AF15" s="90">
        <f>+IF(AND(Y15&gt;0,AB14&lt;0,Y15&gt;ABS(AB14+AD14)),AB14,IF(AND(Y15&gt;0,AB14&lt;0,Y15&lt;ABS(AB14+AD14)),-Y15,IF(AND(Y15&gt;0,AB14=0,AD14&lt;0,Y15&gt;-AD149),AD14,0)))</f>
        <v>0</v>
      </c>
    </row>
    <row r="16" spans="1:37" x14ac:dyDescent="0.3">
      <c r="A16" s="19" t="s">
        <v>13</v>
      </c>
      <c r="B16" s="3">
        <v>2011</v>
      </c>
      <c r="C16" s="23">
        <v>273.0743333333333</v>
      </c>
      <c r="D16" s="8">
        <v>16810</v>
      </c>
      <c r="E16" s="11">
        <v>0</v>
      </c>
      <c r="F16" s="8">
        <v>-2874</v>
      </c>
      <c r="G16" s="8">
        <v>-899</v>
      </c>
      <c r="H16" s="8">
        <v>0</v>
      </c>
      <c r="I16" s="8">
        <v>-459</v>
      </c>
      <c r="J16" s="8">
        <f t="shared" si="0"/>
        <v>12578</v>
      </c>
      <c r="K16" s="8">
        <v>-4095</v>
      </c>
      <c r="L16" s="8">
        <f t="shared" si="1"/>
        <v>8483</v>
      </c>
      <c r="M16" s="8">
        <v>-433</v>
      </c>
      <c r="N16" s="14">
        <v>-1686</v>
      </c>
      <c r="O16" s="14">
        <f t="shared" si="2"/>
        <v>6364</v>
      </c>
      <c r="P16" s="14">
        <f t="shared" si="3"/>
        <v>-1780</v>
      </c>
      <c r="Q16" s="14">
        <v>4584</v>
      </c>
      <c r="R16" s="14">
        <v>4095</v>
      </c>
      <c r="S16" s="14">
        <f t="shared" si="4"/>
        <v>1274</v>
      </c>
      <c r="T16" s="14">
        <f>9953</f>
        <v>9953</v>
      </c>
      <c r="U16" s="9">
        <f>10762-243-1411</f>
        <v>9108</v>
      </c>
      <c r="V16" s="13">
        <v>306</v>
      </c>
      <c r="W16" s="18"/>
      <c r="X16" s="106" t="s">
        <v>42</v>
      </c>
      <c r="Y16" s="109">
        <v>-3.8614207934598821</v>
      </c>
      <c r="AA16" t="s">
        <v>68</v>
      </c>
      <c r="AB16" s="88">
        <f>+IF(AND(AB15&gt;0,Y16&lt;0,-Y16&gt;AB15+AE15),0,IF(AND(AB15&gt;0,Y16&lt;0,-Y16&lt;AB15),AB15+AE15+Y16,IF(AND(AB15&gt;0,Y16&gt;0),AB15+AE15+AD15,IF(AND(AB15&lt;0,Y16&lt;0),AB15+AD15,IF(AND(AB15&lt;0,Y16&gt;0,Y16&gt;-AB15-AD15),0,IF(AND(Y16&lt;0,AB15=0,AE15&gt;0,-Y16&gt;AE15),0,IF(AND(Y16&lt;0,AB15=0,AE15&gt;0,-Y16&lt;AE15),Y16+AE15,IF(AND(Y16&lt;0,AB15=0,AD15&lt;0),AD15,IF(AND(Y16&gt;0,AB132,AD15&lt;0,Y16&gt;-AD15),0,IF(AND(Y16&gt;0,AB15=0,AD15&lt;0,Y16&lt;-AD15),-Y16-AD15,IF(AND(Y16&gt;0,AB15=0,AE15&gt;0),AE15,AB15+AE15+Y16)))))))))))</f>
        <v>12.542528154438198</v>
      </c>
      <c r="AC16" s="89">
        <f>+IF(AND(Y16&lt;0,AB15+AE15&gt;0,AB15+AE15&gt;-Y16),-Y16,IF(AND(Y16&lt;0,AB15+AE15&gt;0,AB15+AE15&lt;-Y16),AB15+AE15,0))</f>
        <v>3.8614207934598821</v>
      </c>
      <c r="AD16" s="90">
        <f>IF(AND(Y16&lt;0,AB15&gt;0,AB15+AE15&lt;-Y16),Y16+AB15+AE15,IF(AND(Y16&lt;0,AB15&lt;0),Y16,IF(AND(Y16&lt;0,AB15=0,AE15&gt;0,-Y16&gt;AE15),Y16+AE15,IF(AND(Y16&lt;0,AB15=0,AD15&lt;0),Y16,0))))</f>
        <v>0</v>
      </c>
      <c r="AE16" s="89">
        <f>+IF(AND(Y16&gt;0,AB15&gt;0),Y16,IF(AND(Y16&gt;0,AB15=0,AE15&gt;0),Y16,IF(AND(Y16&gt;0,AB15+AD15&lt;0,Y16&gt;ABS(AB15+AD15)),Y16+AB15+AD15,0)))</f>
        <v>0</v>
      </c>
      <c r="AF16" s="90">
        <f>+IF(AND(Y16&gt;0,AB15&lt;0,Y16&gt;ABS(AB15+AD15)),AB15,IF(AND(Y16&gt;0,AB15&lt;0,Y16&lt;ABS(AB15+AD15)),-Y16,IF(AND(Y16&gt;0,AB15=0,AD15&lt;0,Y16&gt;-AD150),AD15,0)))</f>
        <v>0</v>
      </c>
    </row>
    <row r="17" spans="1:32" x14ac:dyDescent="0.3">
      <c r="A17" s="20" t="s">
        <v>13</v>
      </c>
      <c r="B17" s="4">
        <v>2012</v>
      </c>
      <c r="C17" s="24">
        <v>284.99650000000003</v>
      </c>
      <c r="D17" s="8">
        <v>16564</v>
      </c>
      <c r="E17" s="11">
        <v>0</v>
      </c>
      <c r="F17" s="10">
        <v>-3079</v>
      </c>
      <c r="G17" s="10">
        <v>-818</v>
      </c>
      <c r="H17" s="10">
        <v>0</v>
      </c>
      <c r="I17" s="10">
        <v>-515</v>
      </c>
      <c r="J17" s="10">
        <f t="shared" si="0"/>
        <v>12152</v>
      </c>
      <c r="K17" s="10">
        <v>-4593</v>
      </c>
      <c r="L17" s="8">
        <f t="shared" si="1"/>
        <v>7559</v>
      </c>
      <c r="M17" s="10">
        <v>-501</v>
      </c>
      <c r="N17" s="14">
        <v>-2590</v>
      </c>
      <c r="O17" s="14">
        <f t="shared" si="2"/>
        <v>4468</v>
      </c>
      <c r="P17" s="14">
        <f t="shared" si="3"/>
        <v>-2467</v>
      </c>
      <c r="Q17" s="14">
        <v>2001</v>
      </c>
      <c r="R17" s="14">
        <v>4593</v>
      </c>
      <c r="S17" s="14">
        <f t="shared" si="4"/>
        <v>1910</v>
      </c>
      <c r="T17" s="14">
        <f>8504</f>
        <v>8504</v>
      </c>
      <c r="U17" s="9">
        <f>13831-316-1032</f>
        <v>12483</v>
      </c>
      <c r="V17" s="13">
        <v>332</v>
      </c>
      <c r="W17" s="18"/>
      <c r="X17" s="106" t="s">
        <v>43</v>
      </c>
      <c r="Y17" s="109">
        <v>12.542528154438202</v>
      </c>
      <c r="AA17" s="28" t="s">
        <v>86</v>
      </c>
      <c r="AB17" s="91">
        <f>+Y17</f>
        <v>12.542528154438202</v>
      </c>
      <c r="AC17" s="92"/>
      <c r="AD17" s="93"/>
      <c r="AE17" s="92"/>
      <c r="AF17" s="93"/>
    </row>
    <row r="18" spans="1:32" x14ac:dyDescent="0.3">
      <c r="A18" s="19" t="s">
        <v>13</v>
      </c>
      <c r="B18" s="3">
        <v>2013</v>
      </c>
      <c r="C18" s="23">
        <v>277.68283333333335</v>
      </c>
      <c r="D18" s="8">
        <v>14771</v>
      </c>
      <c r="E18" s="11">
        <v>0</v>
      </c>
      <c r="F18" s="8">
        <f>-2650-288</f>
        <v>-2938</v>
      </c>
      <c r="G18" s="8">
        <v>-785</v>
      </c>
      <c r="H18" s="8">
        <v>0</v>
      </c>
      <c r="I18" s="8">
        <v>-481</v>
      </c>
      <c r="J18" s="8">
        <f t="shared" si="0"/>
        <v>10567</v>
      </c>
      <c r="K18" s="8">
        <f>-R18</f>
        <v>-4534</v>
      </c>
      <c r="L18" s="8">
        <f t="shared" si="1"/>
        <v>6033</v>
      </c>
      <c r="M18" s="8">
        <v>-560</v>
      </c>
      <c r="N18" s="15">
        <v>-1766</v>
      </c>
      <c r="O18" s="15">
        <f t="shared" si="2"/>
        <v>3707</v>
      </c>
      <c r="P18" s="15">
        <f t="shared" si="3"/>
        <v>-1419</v>
      </c>
      <c r="Q18" s="14">
        <v>2288</v>
      </c>
      <c r="R18" s="14">
        <v>4534</v>
      </c>
      <c r="S18" s="14">
        <f t="shared" si="4"/>
        <v>1863</v>
      </c>
      <c r="T18" s="14">
        <v>8685</v>
      </c>
      <c r="U18" s="11">
        <f>10782-340-537</f>
        <v>9905</v>
      </c>
      <c r="V18" s="13">
        <v>360</v>
      </c>
      <c r="W18" s="18"/>
      <c r="X18" s="106" t="s">
        <v>65</v>
      </c>
      <c r="Y18" s="109">
        <v>-11.079564437325702</v>
      </c>
      <c r="AA18" s="40" t="s">
        <v>104</v>
      </c>
      <c r="AB18" s="88">
        <f>+IF(AND(AB17&gt;0,Y18&lt;0,-Y18&gt;AB17+AE17),0,IF(AND(AB17&gt;0,Y18&lt;0,-Y18&lt;AB17),AB17+AE17+Y18,IF(AND(AB17&gt;0,Y18&gt;0),AB17+AE17+AD17,IF(AND(AB17&lt;0,Y18&lt;0),AB17+AD17,IF(AND(AB17&lt;0,Y18&gt;0,Y18&gt;-AB17-AD17),0,IF(AND(Y18&lt;0,AB17=0,AE17&gt;0,-Y18&gt;AE17),0,IF(AND(Y18&lt;0,AB17=0,AE17&gt;0,-Y18&lt;AE17),Y18+AE17,IF(AND(Y18&lt;0,AB17=0,AD17&lt;0),AD17,IF(AND(Y18&gt;0,AB134,AD17&lt;0,Y18&gt;-AD17),0,IF(AND(Y18&gt;0,AB17=0,AD17&lt;0,Y18&lt;-AD17),-Y18-AD17,IF(AND(Y18&gt;0,AB17=0,AE17&gt;0),AE17,AB17+AE17+Y18)))))))))))</f>
        <v>1.4629637171124994</v>
      </c>
      <c r="AC18" s="89">
        <f>+IF(AND(Y18&lt;0,AB17+AE17&gt;0,AB17+AE17&gt;-Y18),-Y18,IF(AND(Y18&lt;0,AB17+AE17&gt;0,AB17+AE17&lt;-Y18),AB17+AE17,0))</f>
        <v>11.079564437325702</v>
      </c>
      <c r="AD18" s="90">
        <f>IF(AND(Y18&lt;0,AB17&gt;0,AB17+AE17&lt;-Y18),Y18+AB17+AE17,IF(AND(Y18&lt;0,AB17&lt;0),Y18,IF(AND(Y18&lt;0,AB17=0,AE17&gt;0,-Y18&gt;AE17),Y18+AE17,IF(AND(Y18&lt;0,AB17=0,AD17&lt;0),Y18,0))))</f>
        <v>0</v>
      </c>
      <c r="AE18" s="89">
        <f>+IF(AND(Y18&gt;0,AB17&gt;0),Y18,IF(AND(Y18&gt;0,AB17=0,AE17&gt;0),Y18,IF(AND(Y18&gt;0,AB17+AD17&lt;0,Y18&gt;ABS(AB17+AD17)),Y18+AB17+AD17,0)))</f>
        <v>0</v>
      </c>
      <c r="AF18" s="90">
        <f>+IF(AND(Y18&gt;0,AB17&lt;0,Y18&gt;ABS(AB17+AD17)),AB17,IF(AND(Y18&gt;0,AB17&lt;0,Y18&lt;ABS(AB17+AD17)),-Y18,IF(AND(Y18&gt;0,AB17=0,AD17&lt;0,Y18&gt;-AD152),AD17,0)))</f>
        <v>0</v>
      </c>
    </row>
    <row r="19" spans="1:32" x14ac:dyDescent="0.3">
      <c r="A19" s="19" t="s">
        <v>13</v>
      </c>
      <c r="B19" s="3">
        <v>2014</v>
      </c>
      <c r="C19" s="23">
        <v>241.577</v>
      </c>
      <c r="D19" s="8">
        <v>12691</v>
      </c>
      <c r="E19" s="9">
        <v>0</v>
      </c>
      <c r="F19" s="8">
        <f>-2238-273</f>
        <v>-2511</v>
      </c>
      <c r="G19" s="8">
        <v>-678</v>
      </c>
      <c r="H19" s="8">
        <v>0</v>
      </c>
      <c r="I19" s="8">
        <v>-273</v>
      </c>
      <c r="J19" s="8">
        <f t="shared" si="0"/>
        <v>9229</v>
      </c>
      <c r="K19" s="8">
        <f>-R19</f>
        <v>-4388</v>
      </c>
      <c r="L19" s="8">
        <f t="shared" si="1"/>
        <v>4841</v>
      </c>
      <c r="M19" s="8">
        <v>-499</v>
      </c>
      <c r="N19" s="15">
        <v>-1357</v>
      </c>
      <c r="O19" s="15">
        <f t="shared" si="2"/>
        <v>2985</v>
      </c>
      <c r="P19" s="15">
        <f t="shared" si="3"/>
        <v>-11004</v>
      </c>
      <c r="Q19" s="14">
        <v>-8019</v>
      </c>
      <c r="R19" s="15">
        <v>4388</v>
      </c>
      <c r="S19" s="15">
        <f t="shared" si="4"/>
        <v>11588</v>
      </c>
      <c r="T19" s="15">
        <v>7957</v>
      </c>
      <c r="U19" s="11">
        <v>11481</v>
      </c>
      <c r="V19" s="13">
        <v>365</v>
      </c>
      <c r="W19" s="18"/>
      <c r="X19" s="106" t="s">
        <v>66</v>
      </c>
      <c r="Y19" s="109">
        <v>1.462963717112499</v>
      </c>
      <c r="AA19" s="28" t="s">
        <v>63</v>
      </c>
      <c r="AB19" s="91">
        <f>+Y19</f>
        <v>1.462963717112499</v>
      </c>
      <c r="AC19" s="92"/>
      <c r="AD19" s="93"/>
      <c r="AE19" s="92"/>
      <c r="AF19" s="93"/>
    </row>
    <row r="20" spans="1:32" x14ac:dyDescent="0.3">
      <c r="A20" s="19" t="s">
        <v>13</v>
      </c>
      <c r="B20" s="3">
        <v>2015</v>
      </c>
      <c r="C20" s="23">
        <v>206.84066666666666</v>
      </c>
      <c r="D20" s="8">
        <v>6383</v>
      </c>
      <c r="E20" s="11">
        <v>0</v>
      </c>
      <c r="F20" s="8">
        <f>-1854-211</f>
        <v>-2065</v>
      </c>
      <c r="G20" s="8">
        <v>-259</v>
      </c>
      <c r="H20" s="8">
        <v>0</v>
      </c>
      <c r="I20" s="8">
        <v>-211</v>
      </c>
      <c r="J20" s="8">
        <f t="shared" si="0"/>
        <v>3848</v>
      </c>
      <c r="K20" s="8">
        <f>-R20</f>
        <v>-3531</v>
      </c>
      <c r="L20" s="8">
        <f t="shared" si="1"/>
        <v>317</v>
      </c>
      <c r="M20" s="8">
        <v>-486</v>
      </c>
      <c r="N20" s="15">
        <v>-573</v>
      </c>
      <c r="O20" s="15">
        <f t="shared" si="2"/>
        <v>-742</v>
      </c>
      <c r="P20" s="15">
        <f t="shared" si="3"/>
        <v>-9925</v>
      </c>
      <c r="Q20" s="15">
        <v>-10667</v>
      </c>
      <c r="R20" s="15">
        <v>3531</v>
      </c>
      <c r="S20" s="15">
        <f t="shared" si="4"/>
        <v>9803</v>
      </c>
      <c r="T20" s="15">
        <v>2667</v>
      </c>
      <c r="U20" s="11">
        <v>4249</v>
      </c>
      <c r="V20" s="13">
        <v>377</v>
      </c>
      <c r="W20" s="18"/>
      <c r="X20" s="106" t="s">
        <v>44</v>
      </c>
      <c r="Y20" s="109">
        <v>13.549656307766075</v>
      </c>
      <c r="AA20" t="s">
        <v>49</v>
      </c>
      <c r="AB20" s="88">
        <f>+IF(AND(AB19&gt;0,Y20&lt;0,-Y20&gt;AB19+AE19),0,IF(AND(AB19&gt;0,Y20&lt;0,-Y20&lt;AB19),AB19+AE19+Y20,IF(AND(AB19&gt;0,Y20&gt;0),AB19+AE19+AD19,IF(AND(AB19&lt;0,Y20&lt;0),AB19+AD19,IF(AND(AB19&lt;0,Y20&gt;0,Y20&gt;-AB19-AD19),0,IF(AND(Y20&lt;0,AB19=0,AE19&gt;0,-Y20&gt;AE19),0,IF(AND(Y20&lt;0,AB19=0,AE19&gt;0,-Y20&lt;AE19),Y20+AE19,IF(AND(Y20&lt;0,AB19=0,AD19&lt;0),AD19,IF(AND(Y20&gt;0,AB136,AD19&lt;0,Y20&gt;-AD19),0,IF(AND(Y20&gt;0,AB19=0,AD19&lt;0,Y20&lt;-AD19),-Y20-AD19,IF(AND(Y20&gt;0,AB19=0,AE19&gt;0),AE19,AB19+AE19+Y20)))))))))))</f>
        <v>1.462963717112499</v>
      </c>
      <c r="AC20" s="89">
        <f>+IF(AND(Y20&lt;0,AB19+AE19&gt;0,AB19+AE19&gt;-Y20),-Y20,IF(AND(Y20&lt;0,AB19+AE19&gt;0,AB19+AE19&lt;-Y20),AB19+AE19,0))</f>
        <v>0</v>
      </c>
      <c r="AD20" s="90">
        <f>IF(AND(Y20&lt;0,AB19&gt;0,AB19+AE19&lt;-Y20),Y20+AB19+AE19,IF(AND(Y20&lt;0,AB19&lt;0),Y20,IF(AND(Y20&lt;0,AB19=0,AE19&gt;0,-Y20&gt;AE19),Y20+AE19,IF(AND(Y20&lt;0,AB19=0,AD19&lt;0),Y20,0))))</f>
        <v>0</v>
      </c>
      <c r="AE20" s="89">
        <f>+IF(AND(Y20&gt;0,AB19&gt;0),Y20,IF(AND(Y20&gt;0,AB19=0,AE19&gt;0),Y20,IF(AND(Y20&gt;0,AB19+AD19&lt;0,Y20&gt;ABS(AB19+AD19)),Y20+AB19+AD19,0)))</f>
        <v>13.549656307766075</v>
      </c>
      <c r="AF20" s="90">
        <f t="shared" ref="AF20:AF21" si="6">+IF(AND(Y20&gt;0,AB19&lt;0,Y20&gt;ABS(AB19+AD19)),AB19,IF(AND(Y20&gt;0,AB19&lt;0,Y20&lt;ABS(AB19+AD19)),-Y20,IF(AND(Y20&gt;0,AB19=0,AD19&lt;0,Y20&gt;-AD154),AD19,0)))</f>
        <v>0</v>
      </c>
    </row>
    <row r="21" spans="1:32" x14ac:dyDescent="0.3">
      <c r="A21" s="21" t="s">
        <v>13</v>
      </c>
      <c r="B21" s="94">
        <v>2016</v>
      </c>
      <c r="C21" s="95">
        <v>190.94149999999999</v>
      </c>
      <c r="D21" s="96">
        <v>5208</v>
      </c>
      <c r="E21" s="97">
        <v>0</v>
      </c>
      <c r="F21" s="96">
        <v>-1494</v>
      </c>
      <c r="G21" s="96">
        <v>-120</v>
      </c>
      <c r="H21" s="96">
        <v>0</v>
      </c>
      <c r="I21" s="96">
        <v>-200</v>
      </c>
      <c r="J21" s="96">
        <f t="shared" ref="J21" si="7">SUM(D21:I21)</f>
        <v>3394</v>
      </c>
      <c r="K21" s="96">
        <f>-R21</f>
        <v>-1974</v>
      </c>
      <c r="L21" s="96">
        <f t="shared" ref="L21" si="8">+SUM(J21:K21)</f>
        <v>1420</v>
      </c>
      <c r="M21" s="96">
        <v>-464</v>
      </c>
      <c r="N21" s="98">
        <v>-305</v>
      </c>
      <c r="O21" s="98">
        <f t="shared" ref="O21" si="9">+SUM(L21:N21)</f>
        <v>651</v>
      </c>
      <c r="P21" s="98">
        <f t="shared" ref="P21" si="10">+Q21-O21</f>
        <v>-1924</v>
      </c>
      <c r="Q21" s="98">
        <v>-1273</v>
      </c>
      <c r="R21" s="98">
        <v>1974</v>
      </c>
      <c r="S21" s="98">
        <f t="shared" ref="S21" si="11">+T21-SUM(Q21:R21)</f>
        <v>1729</v>
      </c>
      <c r="T21" s="98">
        <v>2430</v>
      </c>
      <c r="U21" s="97">
        <v>1635</v>
      </c>
      <c r="V21" s="13">
        <v>379</v>
      </c>
      <c r="W21" s="18"/>
      <c r="X21" s="106" t="s">
        <v>45</v>
      </c>
      <c r="Y21" s="109">
        <v>7.1678432828254381</v>
      </c>
      <c r="AA21" t="s">
        <v>32</v>
      </c>
      <c r="AB21" s="6">
        <f>+IF(AND(AB20&gt;0,Y21&lt;0,-Y21&gt;AB20+AE20),0,IF(AND(AB20&gt;0,Y21&lt;0,-Y21&lt;AB20),AB20+AE20+Y21,IF(AND(AB20&gt;0,Y21&gt;0),AB20+AE20+AD20,IF(AND(AB20&lt;0,Y21&lt;0),AB20+AD20,IF(AND(AB20&lt;0,Y21&gt;0,Y21&gt;-AB20-AD20),0,IF(AND(Y21&lt;0,AB20=0,AE20&gt;0,-Y21&gt;AE20),0,IF(AND(Y21&lt;0,AB20=0,AE20&gt;0,-Y21&lt;AE20),Y21+AE20,IF(AND(Y21&lt;0,AB20=0,AD20&lt;0),AD20,IF(AND(Y21&gt;0,AB137,AD20&lt;0,Y21&gt;-AD20),0,IF(AND(Y21&gt;0,AB20=0,AD20&lt;0,Y21&lt;-AD20),-Y21-AD20,IF(AND(Y21&gt;0,AB20=0,AE20&gt;0),AE20,AB20+AE20+Y21)))))))))))</f>
        <v>15.012620024878574</v>
      </c>
      <c r="AC21" s="33">
        <f>+IF(AND(Y21&lt;0,AB20+AE20&gt;0,AB20+AE20&gt;-Y21),-Y21,IF(AND(Y21&lt;0,AB20+AE20&gt;0,AB20+AE20&lt;-Y21),AB20+AE20,0))</f>
        <v>0</v>
      </c>
      <c r="AD21" s="34">
        <f>IF(AND(Y21&lt;0,AB20&gt;0,AB20+AE20&lt;-Y21),Y21+AB20+AE20,IF(AND(Y21&lt;0,AB20&lt;0),Y21,IF(AND(Y21&lt;0,AB20=0,AE20&gt;0,-Y21&gt;AE20),Y21+AE20,IF(AND(Y21&lt;0,AB20=0,AD20&lt;0),Y21,0))))</f>
        <v>0</v>
      </c>
      <c r="AE21" s="33">
        <f>+IF(AND(Y21&gt;0,AB20&gt;0),Y21,IF(AND(Y21&gt;0,AB20=0,AE20&gt;0),Y21,IF(AND(Y21&gt;0,AB20+AD20&lt;0,Y21&gt;ABS(AB20+AD20)),Y21+AB20+AD20,0)))</f>
        <v>7.1678432828254381</v>
      </c>
      <c r="AF21" s="90">
        <f t="shared" si="6"/>
        <v>0</v>
      </c>
    </row>
    <row r="22" spans="1:32" x14ac:dyDescent="0.3">
      <c r="A22" s="19" t="s">
        <v>14</v>
      </c>
      <c r="B22" s="3">
        <v>2007</v>
      </c>
      <c r="C22" s="23">
        <v>14.2425</v>
      </c>
      <c r="D22" s="8"/>
      <c r="E22" s="9"/>
      <c r="F22" s="8">
        <v>0</v>
      </c>
      <c r="G22" s="8">
        <v>0</v>
      </c>
      <c r="H22" s="8">
        <v>0</v>
      </c>
      <c r="I22" s="8">
        <v>0</v>
      </c>
      <c r="J22" s="8">
        <f t="shared" si="0"/>
        <v>0</v>
      </c>
      <c r="K22" s="8"/>
      <c r="L22" s="8">
        <f t="shared" si="1"/>
        <v>0</v>
      </c>
      <c r="M22" s="8">
        <v>0</v>
      </c>
      <c r="N22" s="8">
        <v>0</v>
      </c>
      <c r="O22" s="8">
        <f t="shared" si="2"/>
        <v>0</v>
      </c>
      <c r="P22" s="8">
        <f t="shared" si="3"/>
        <v>0</v>
      </c>
      <c r="Q22" s="8"/>
      <c r="R22" s="8">
        <v>0</v>
      </c>
      <c r="S22" s="8">
        <f t="shared" si="4"/>
        <v>0</v>
      </c>
      <c r="T22" s="8"/>
      <c r="U22" s="9"/>
      <c r="V22" s="13"/>
      <c r="W22" s="18"/>
      <c r="X22" s="106" t="s">
        <v>46</v>
      </c>
      <c r="Y22" s="109">
        <v>22.180463307704013</v>
      </c>
      <c r="AA22" s="28" t="s">
        <v>9</v>
      </c>
      <c r="AB22" s="29">
        <f>+Y22</f>
        <v>22.180463307704013</v>
      </c>
      <c r="AC22" s="35"/>
      <c r="AD22" s="37"/>
      <c r="AE22" s="35"/>
      <c r="AF22" s="36"/>
    </row>
    <row r="23" spans="1:32" ht="15" thickBot="1" x14ac:dyDescent="0.35">
      <c r="A23" s="19" t="s">
        <v>14</v>
      </c>
      <c r="B23" s="3">
        <v>2008</v>
      </c>
      <c r="C23" s="23">
        <v>15.864833333333333</v>
      </c>
      <c r="D23" s="8"/>
      <c r="E23" s="9"/>
      <c r="F23" s="8">
        <v>0</v>
      </c>
      <c r="G23" s="8">
        <v>0</v>
      </c>
      <c r="H23" s="8">
        <v>0</v>
      </c>
      <c r="I23" s="8">
        <v>0</v>
      </c>
      <c r="J23" s="8">
        <f t="shared" si="0"/>
        <v>0</v>
      </c>
      <c r="K23" s="8"/>
      <c r="L23" s="8">
        <f t="shared" si="1"/>
        <v>0</v>
      </c>
      <c r="M23" s="8">
        <v>0</v>
      </c>
      <c r="N23" s="8">
        <v>0</v>
      </c>
      <c r="O23" s="8">
        <f t="shared" si="2"/>
        <v>0</v>
      </c>
      <c r="P23" s="8">
        <f t="shared" si="3"/>
        <v>0</v>
      </c>
      <c r="Q23" s="8"/>
      <c r="R23" s="8">
        <v>0</v>
      </c>
      <c r="S23" s="8">
        <f t="shared" si="4"/>
        <v>0</v>
      </c>
      <c r="T23" s="8"/>
      <c r="U23" s="9"/>
      <c r="V23" s="13">
        <v>12</v>
      </c>
      <c r="W23" s="18"/>
      <c r="X23" s="106" t="s">
        <v>47</v>
      </c>
      <c r="Y23" s="109">
        <v>28.901920099717699</v>
      </c>
      <c r="AA23" s="28" t="s">
        <v>10</v>
      </c>
      <c r="AB23" s="29">
        <f>+Y23</f>
        <v>28.901920099717699</v>
      </c>
      <c r="AC23" s="38"/>
      <c r="AD23" s="39"/>
      <c r="AE23" s="38"/>
      <c r="AF23" s="79"/>
    </row>
    <row r="24" spans="1:32" x14ac:dyDescent="0.3">
      <c r="A24" s="19" t="s">
        <v>14</v>
      </c>
      <c r="B24" s="3">
        <v>2009</v>
      </c>
      <c r="C24" s="23">
        <v>17.163</v>
      </c>
      <c r="D24" s="8">
        <v>743.54300000000001</v>
      </c>
      <c r="E24" s="11">
        <v>0</v>
      </c>
      <c r="F24" s="8">
        <v>-107.794</v>
      </c>
      <c r="G24" s="8">
        <v>-44.649000000000001</v>
      </c>
      <c r="H24" s="8">
        <v>-50.753999999999998</v>
      </c>
      <c r="I24" s="8">
        <v>-68.373999999999995</v>
      </c>
      <c r="J24" s="8">
        <f t="shared" si="0"/>
        <v>471.97199999999998</v>
      </c>
      <c r="K24" s="8">
        <v>-251.26</v>
      </c>
      <c r="L24" s="8">
        <f t="shared" si="1"/>
        <v>220.71199999999999</v>
      </c>
      <c r="M24" s="8">
        <f>-'Other info'!L22/1000</f>
        <v>-53.241099999999996</v>
      </c>
      <c r="N24" s="8">
        <v>-27.08</v>
      </c>
      <c r="O24" s="8">
        <f t="shared" si="2"/>
        <v>140.39089999999999</v>
      </c>
      <c r="P24" s="8">
        <f t="shared" si="3"/>
        <v>7.9521000000000015</v>
      </c>
      <c r="Q24" s="14">
        <v>148.34299999999999</v>
      </c>
      <c r="R24" s="14">
        <v>251.26</v>
      </c>
      <c r="S24" s="14">
        <f t="shared" si="4"/>
        <v>214.44900000000007</v>
      </c>
      <c r="T24" s="14">
        <f>614.052</f>
        <v>614.05200000000002</v>
      </c>
      <c r="U24" s="9">
        <v>593.41100000000006</v>
      </c>
      <c r="V24" s="13">
        <v>12</v>
      </c>
      <c r="W24" s="18"/>
      <c r="X24" s="106" t="s">
        <v>53</v>
      </c>
      <c r="Y24" s="109">
        <v>6.5837701055279672</v>
      </c>
      <c r="Z24" s="18"/>
    </row>
    <row r="25" spans="1:32" x14ac:dyDescent="0.3">
      <c r="A25" s="19" t="s">
        <v>14</v>
      </c>
      <c r="B25" s="3">
        <v>2010</v>
      </c>
      <c r="C25" s="23">
        <v>21.770333333333333</v>
      </c>
      <c r="D25" s="8">
        <v>713.64599999999996</v>
      </c>
      <c r="E25" s="11">
        <v>0</v>
      </c>
      <c r="F25" s="8">
        <v>-118.711</v>
      </c>
      <c r="G25" s="8">
        <v>-37.893999999999998</v>
      </c>
      <c r="H25" s="8">
        <v>-42.725000000000001</v>
      </c>
      <c r="I25" s="8">
        <v>-79.177000000000007</v>
      </c>
      <c r="J25" s="8">
        <f t="shared" si="0"/>
        <v>435.1389999999999</v>
      </c>
      <c r="K25" s="8">
        <v>-327.08300000000003</v>
      </c>
      <c r="L25" s="8">
        <f t="shared" si="1"/>
        <v>108.05599999999987</v>
      </c>
      <c r="M25" s="8">
        <f>-'Other info'!L23/1000</f>
        <v>-57.712600000000002</v>
      </c>
      <c r="N25" s="8">
        <v>-1.05</v>
      </c>
      <c r="O25" s="8">
        <f t="shared" si="2"/>
        <v>49.29339999999987</v>
      </c>
      <c r="P25" s="8">
        <f t="shared" si="3"/>
        <v>54.092600000000125</v>
      </c>
      <c r="Q25" s="14">
        <v>103.386</v>
      </c>
      <c r="R25" s="14">
        <v>327.08300000000003</v>
      </c>
      <c r="S25" s="14">
        <f t="shared" si="4"/>
        <v>54.44199999999995</v>
      </c>
      <c r="T25" s="14">
        <f>484.911</f>
        <v>484.911</v>
      </c>
      <c r="U25" s="9">
        <v>828.35500000000002</v>
      </c>
      <c r="V25" s="13">
        <v>12</v>
      </c>
      <c r="W25" s="18"/>
      <c r="Z25" s="18"/>
    </row>
    <row r="26" spans="1:32" x14ac:dyDescent="0.3">
      <c r="A26" s="19" t="s">
        <v>14</v>
      </c>
      <c r="B26" s="3">
        <v>2011</v>
      </c>
      <c r="C26" s="23">
        <v>30.913333333333334</v>
      </c>
      <c r="D26" s="8">
        <v>796.51700000000005</v>
      </c>
      <c r="E26" s="11">
        <v>0</v>
      </c>
      <c r="F26" s="8">
        <v>-180.73099999999999</v>
      </c>
      <c r="G26" s="8">
        <v>-27.576000000000001</v>
      </c>
      <c r="H26" s="8">
        <v>-34.447000000000003</v>
      </c>
      <c r="I26" s="8">
        <v>-104.667</v>
      </c>
      <c r="J26" s="8">
        <f t="shared" si="0"/>
        <v>449.096</v>
      </c>
      <c r="K26" s="8">
        <v>-343.14100000000002</v>
      </c>
      <c r="L26" s="8">
        <f t="shared" si="1"/>
        <v>105.95499999999998</v>
      </c>
      <c r="M26" s="8">
        <f>-'Other info'!L24/1000</f>
        <v>-53.671600000000005</v>
      </c>
      <c r="N26" s="8">
        <v>-65.352000000000004</v>
      </c>
      <c r="O26" s="8">
        <f t="shared" si="2"/>
        <v>-13.068600000000025</v>
      </c>
      <c r="P26" s="8">
        <f t="shared" si="3"/>
        <v>135.47660000000002</v>
      </c>
      <c r="Q26" s="14">
        <v>122.408</v>
      </c>
      <c r="R26" s="14">
        <v>343.14100000000002</v>
      </c>
      <c r="S26" s="14">
        <f t="shared" si="4"/>
        <v>36.289999999999964</v>
      </c>
      <c r="T26" s="14">
        <f>501.839</f>
        <v>501.839</v>
      </c>
      <c r="U26" s="9">
        <v>888.25299999999993</v>
      </c>
      <c r="V26" s="13">
        <v>13</v>
      </c>
      <c r="W26" s="18"/>
      <c r="Z26" s="18"/>
      <c r="AB26" s="109"/>
    </row>
    <row r="27" spans="1:32" x14ac:dyDescent="0.3">
      <c r="A27" s="20" t="s">
        <v>14</v>
      </c>
      <c r="B27" s="4">
        <v>2012</v>
      </c>
      <c r="C27" s="24">
        <v>44.573666666666668</v>
      </c>
      <c r="D27" s="10">
        <f>934.134+227.933</f>
        <v>1162.067</v>
      </c>
      <c r="E27" s="9">
        <v>0</v>
      </c>
      <c r="F27" s="10">
        <v>-261.55200000000002</v>
      </c>
      <c r="G27" s="10">
        <v>-48.874000000000002</v>
      </c>
      <c r="H27" s="10">
        <v>-37.475999999999999</v>
      </c>
      <c r="I27" s="10">
        <v>-121.239</v>
      </c>
      <c r="J27" s="10">
        <f t="shared" si="0"/>
        <v>692.92599999999993</v>
      </c>
      <c r="K27" s="10">
        <v>-451.40499999999997</v>
      </c>
      <c r="L27" s="8">
        <f t="shared" si="1"/>
        <v>241.52099999999996</v>
      </c>
      <c r="M27" s="8">
        <f>-'Other info'!L25/1000</f>
        <v>-51.094100000000005</v>
      </c>
      <c r="N27" s="10">
        <v>-22.501000000000001</v>
      </c>
      <c r="O27" s="10">
        <f t="shared" si="2"/>
        <v>167.92589999999996</v>
      </c>
      <c r="P27" s="10">
        <f t="shared" si="3"/>
        <v>-36.195899999999966</v>
      </c>
      <c r="Q27" s="14">
        <v>131.72999999999999</v>
      </c>
      <c r="R27" s="14">
        <v>451.40499999999997</v>
      </c>
      <c r="S27" s="14">
        <f t="shared" si="4"/>
        <v>68.95799999999997</v>
      </c>
      <c r="T27" s="14">
        <f>652.093</f>
        <v>652.09299999999996</v>
      </c>
      <c r="U27" s="9">
        <v>969.88400000000001</v>
      </c>
      <c r="V27" s="13">
        <v>17</v>
      </c>
      <c r="W27" s="18"/>
      <c r="Z27" s="18"/>
    </row>
    <row r="28" spans="1:32" x14ac:dyDescent="0.3">
      <c r="A28" s="19" t="s">
        <v>14</v>
      </c>
      <c r="B28" s="3">
        <v>2013</v>
      </c>
      <c r="C28" s="23">
        <v>68.887666666666675</v>
      </c>
      <c r="D28" s="8">
        <f>1405.262+291.418</f>
        <v>1696.6799999999998</v>
      </c>
      <c r="E28" s="9">
        <v>0</v>
      </c>
      <c r="F28" s="8">
        <v>-370.34500000000003</v>
      </c>
      <c r="G28" s="8">
        <v>-43.045000000000002</v>
      </c>
      <c r="H28" s="8">
        <v>-18.164999999999999</v>
      </c>
      <c r="I28" s="8">
        <v>-104.60599999999999</v>
      </c>
      <c r="J28" s="8">
        <f t="shared" si="0"/>
        <v>1160.5189999999998</v>
      </c>
      <c r="K28" s="8">
        <v>-651.05200000000002</v>
      </c>
      <c r="L28" s="8">
        <f t="shared" si="1"/>
        <v>509.46699999999976</v>
      </c>
      <c r="M28" s="8">
        <f>-'Other info'!L26/1000</f>
        <v>-53.301100000000005</v>
      </c>
      <c r="N28" s="8">
        <v>-35.280999999999999</v>
      </c>
      <c r="O28" s="8">
        <f t="shared" si="2"/>
        <v>420.88489999999973</v>
      </c>
      <c r="P28" s="8">
        <f t="shared" si="3"/>
        <v>-141.11189999999971</v>
      </c>
      <c r="Q28" s="14">
        <v>279.77300000000002</v>
      </c>
      <c r="R28" s="14">
        <v>651.05200000000002</v>
      </c>
      <c r="S28" s="14">
        <f t="shared" si="4"/>
        <v>93.701000000000022</v>
      </c>
      <c r="T28" s="14">
        <f>1024.526</f>
        <v>1024.5260000000001</v>
      </c>
      <c r="U28" s="11">
        <v>1186.105</v>
      </c>
      <c r="V28" s="13">
        <v>25</v>
      </c>
      <c r="W28" s="18"/>
      <c r="Z28" s="18"/>
    </row>
    <row r="29" spans="1:32" x14ac:dyDescent="0.3">
      <c r="A29" s="19" t="s">
        <v>14</v>
      </c>
      <c r="B29" s="3">
        <v>2014</v>
      </c>
      <c r="C29" s="23">
        <v>88.62766666666667</v>
      </c>
      <c r="D29" s="8">
        <f>1590.625+313.889</f>
        <v>1904.5140000000001</v>
      </c>
      <c r="E29" s="9">
        <v>0</v>
      </c>
      <c r="F29" s="8">
        <v>-494.85</v>
      </c>
      <c r="G29" s="8">
        <v>-47.012</v>
      </c>
      <c r="H29" s="8">
        <v>-28.745999999999999</v>
      </c>
      <c r="I29" s="8">
        <v>-82.59</v>
      </c>
      <c r="J29" s="8">
        <f t="shared" si="0"/>
        <v>1251.3160000000003</v>
      </c>
      <c r="K29" s="8">
        <v>-632.76</v>
      </c>
      <c r="L29" s="8">
        <f t="shared" si="1"/>
        <v>618.55600000000027</v>
      </c>
      <c r="M29" s="8">
        <f>-'Other info'!L27/1000</f>
        <v>-63.305266666666668</v>
      </c>
      <c r="N29" s="8">
        <v>-77.028999999999996</v>
      </c>
      <c r="O29" s="8">
        <f t="shared" si="2"/>
        <v>478.22173333333365</v>
      </c>
      <c r="P29" s="8">
        <f t="shared" si="3"/>
        <v>-373.75373333333363</v>
      </c>
      <c r="Q29" s="15">
        <v>104.468</v>
      </c>
      <c r="R29" s="15">
        <v>632.76</v>
      </c>
      <c r="S29" s="15">
        <f t="shared" si="4"/>
        <v>499.20699999999999</v>
      </c>
      <c r="T29" s="15">
        <f>1236.435</f>
        <v>1236.4349999999999</v>
      </c>
      <c r="U29" s="11">
        <v>1771.7330000000002</v>
      </c>
      <c r="V29" s="13">
        <v>33</v>
      </c>
      <c r="W29" s="18"/>
      <c r="Z29" s="18"/>
    </row>
    <row r="30" spans="1:32" x14ac:dyDescent="0.3">
      <c r="A30" s="19" t="s">
        <v>14</v>
      </c>
      <c r="B30" s="3">
        <v>2015</v>
      </c>
      <c r="C30" s="23">
        <v>100.42933333333333</v>
      </c>
      <c r="D30" s="8">
        <f>1025.044+248.211</f>
        <v>1273.2550000000001</v>
      </c>
      <c r="E30" s="11">
        <v>0</v>
      </c>
      <c r="F30" s="8">
        <f>-140.814-427.588</f>
        <v>-568.40200000000004</v>
      </c>
      <c r="G30" s="8">
        <v>-42.808999999999997</v>
      </c>
      <c r="H30" s="8">
        <v>-27.46</v>
      </c>
      <c r="I30" s="8">
        <v>-69.444000000000003</v>
      </c>
      <c r="J30" s="8">
        <f t="shared" si="0"/>
        <v>565.1400000000001</v>
      </c>
      <c r="K30" s="8">
        <v>-622.21100000000001</v>
      </c>
      <c r="L30" s="8">
        <f t="shared" si="1"/>
        <v>-57.070999999999913</v>
      </c>
      <c r="M30" s="8">
        <f>-'Other info'!L28/1000</f>
        <v>-85.296600000000012</v>
      </c>
      <c r="N30" s="15">
        <v>-7.55</v>
      </c>
      <c r="O30" s="15">
        <f t="shared" si="2"/>
        <v>-149.91759999999994</v>
      </c>
      <c r="P30" s="15">
        <f t="shared" si="3"/>
        <v>36.026599999999931</v>
      </c>
      <c r="Q30" s="15">
        <v>-113.89100000000001</v>
      </c>
      <c r="R30" s="15">
        <v>622.21100000000001</v>
      </c>
      <c r="S30" s="15">
        <f t="shared" si="4"/>
        <v>232.41699999999997</v>
      </c>
      <c r="T30" s="15">
        <v>740.73699999999997</v>
      </c>
      <c r="U30" s="11">
        <v>793.86300000000006</v>
      </c>
      <c r="V30" s="13">
        <v>33</v>
      </c>
      <c r="X30" s="42" t="s">
        <v>69</v>
      </c>
      <c r="Z30" s="18"/>
    </row>
    <row r="31" spans="1:32" x14ac:dyDescent="0.3">
      <c r="A31" s="21" t="s">
        <v>14</v>
      </c>
      <c r="B31" s="94">
        <v>2016</v>
      </c>
      <c r="C31" s="102">
        <v>104.5</v>
      </c>
      <c r="D31" s="96">
        <f>1022.59+151.106</f>
        <v>1173.6959999999999</v>
      </c>
      <c r="E31" s="97">
        <v>0</v>
      </c>
      <c r="F31" s="96">
        <f>-100.696-436.542</f>
        <v>-537.23799999999994</v>
      </c>
      <c r="G31" s="96">
        <v>-29.222999999999999</v>
      </c>
      <c r="H31" s="96">
        <v>-27.661999999999999</v>
      </c>
      <c r="I31" s="96">
        <v>-87.242000000000004</v>
      </c>
      <c r="J31" s="96">
        <f t="shared" si="0"/>
        <v>492.33099999999996</v>
      </c>
      <c r="K31" s="96">
        <v>-590.12800000000004</v>
      </c>
      <c r="L31" s="96">
        <f t="shared" si="1"/>
        <v>-97.797000000000082</v>
      </c>
      <c r="M31" s="96">
        <f>-'Other info'!L29/1000</f>
        <v>-55.5861011</v>
      </c>
      <c r="N31" s="98">
        <v>-0.68799999999999994</v>
      </c>
      <c r="O31" s="98">
        <f t="shared" si="2"/>
        <v>-154.07110110000008</v>
      </c>
      <c r="P31" s="98">
        <f t="shared" si="3"/>
        <v>-263.05289889999995</v>
      </c>
      <c r="Q31" s="98">
        <v>-417.12400000000002</v>
      </c>
      <c r="R31" s="96">
        <v>590.12800000000004</v>
      </c>
      <c r="S31" s="98">
        <f t="shared" si="4"/>
        <v>219.37299999999999</v>
      </c>
      <c r="T31" s="98">
        <v>392.37700000000001</v>
      </c>
      <c r="U31" s="97">
        <v>389.84399999999999</v>
      </c>
      <c r="V31" s="13">
        <v>36</v>
      </c>
      <c r="Z31" s="18"/>
    </row>
    <row r="32" spans="1:32" x14ac:dyDescent="0.3">
      <c r="A32" s="19" t="s">
        <v>15</v>
      </c>
      <c r="B32" s="3">
        <v>2007</v>
      </c>
      <c r="C32" s="23">
        <v>119.06666666666668</v>
      </c>
      <c r="D32" s="8"/>
      <c r="E32" s="11"/>
      <c r="F32" s="8">
        <v>0</v>
      </c>
      <c r="G32" s="8">
        <v>0</v>
      </c>
      <c r="H32" s="8">
        <v>0</v>
      </c>
      <c r="I32" s="8">
        <v>0</v>
      </c>
      <c r="J32" s="8">
        <f t="shared" si="0"/>
        <v>0</v>
      </c>
      <c r="K32" s="8"/>
      <c r="L32" s="8">
        <f t="shared" si="1"/>
        <v>0</v>
      </c>
      <c r="M32" s="8">
        <v>0</v>
      </c>
      <c r="N32" s="8">
        <v>0</v>
      </c>
      <c r="O32" s="8">
        <f t="shared" si="2"/>
        <v>0</v>
      </c>
      <c r="P32" s="8">
        <f t="shared" si="3"/>
        <v>0</v>
      </c>
      <c r="Q32" s="8"/>
      <c r="R32" s="8">
        <v>0</v>
      </c>
      <c r="S32" s="8">
        <f t="shared" si="4"/>
        <v>0</v>
      </c>
      <c r="T32" s="8"/>
      <c r="U32" s="9"/>
      <c r="V32" s="13"/>
      <c r="Z32" s="18"/>
    </row>
    <row r="33" spans="1:32" x14ac:dyDescent="0.3">
      <c r="A33" s="19" t="s">
        <v>15</v>
      </c>
      <c r="B33" s="3">
        <v>2008</v>
      </c>
      <c r="C33" s="23">
        <v>140.36666666666665</v>
      </c>
      <c r="D33" s="8"/>
      <c r="E33" s="11"/>
      <c r="F33" s="8">
        <v>0</v>
      </c>
      <c r="G33" s="8">
        <v>0</v>
      </c>
      <c r="H33" s="8">
        <v>0</v>
      </c>
      <c r="I33" s="8">
        <v>0</v>
      </c>
      <c r="J33" s="8">
        <f t="shared" si="0"/>
        <v>0</v>
      </c>
      <c r="K33" s="8"/>
      <c r="L33" s="8">
        <f t="shared" si="1"/>
        <v>0</v>
      </c>
      <c r="M33" s="8">
        <v>0</v>
      </c>
      <c r="N33" s="8">
        <v>0</v>
      </c>
      <c r="O33" s="8">
        <f t="shared" si="2"/>
        <v>0</v>
      </c>
      <c r="P33" s="8">
        <f t="shared" si="3"/>
        <v>0</v>
      </c>
      <c r="Q33" s="8"/>
      <c r="R33" s="8">
        <v>0</v>
      </c>
      <c r="S33" s="8">
        <f t="shared" si="4"/>
        <v>0</v>
      </c>
      <c r="T33" s="8"/>
      <c r="U33" s="9"/>
      <c r="V33" s="13">
        <f>148+35</f>
        <v>183</v>
      </c>
      <c r="W33" s="18" t="s">
        <v>52</v>
      </c>
      <c r="Z33" s="18"/>
    </row>
    <row r="34" spans="1:32" x14ac:dyDescent="0.3">
      <c r="A34" s="19" t="s">
        <v>15</v>
      </c>
      <c r="B34" s="3">
        <v>2009</v>
      </c>
      <c r="C34" s="23">
        <v>150.96666666666667</v>
      </c>
      <c r="D34" s="8">
        <v>5049</v>
      </c>
      <c r="E34" s="11">
        <f>2463+W34</f>
        <v>2653</v>
      </c>
      <c r="F34" s="8">
        <f>-876-182</f>
        <v>-1058</v>
      </c>
      <c r="G34" s="8">
        <v>-107</v>
      </c>
      <c r="H34" s="8">
        <v>0</v>
      </c>
      <c r="I34" s="8">
        <v>-349</v>
      </c>
      <c r="J34" s="8">
        <f t="shared" si="0"/>
        <v>6188</v>
      </c>
      <c r="K34" s="8">
        <v>-1531</v>
      </c>
      <c r="L34" s="8">
        <f t="shared" si="1"/>
        <v>4657</v>
      </c>
      <c r="M34" s="14">
        <v>-825</v>
      </c>
      <c r="N34" s="14">
        <v>-7</v>
      </c>
      <c r="O34" s="14">
        <f t="shared" si="2"/>
        <v>3825</v>
      </c>
      <c r="P34" s="14">
        <f t="shared" si="3"/>
        <v>-9630</v>
      </c>
      <c r="Q34" s="14">
        <v>-5805</v>
      </c>
      <c r="R34" s="14">
        <v>1615</v>
      </c>
      <c r="S34" s="14">
        <f t="shared" si="4"/>
        <v>8546</v>
      </c>
      <c r="T34" s="14">
        <f>4356</f>
        <v>4356</v>
      </c>
      <c r="U34" s="9">
        <v>6396</v>
      </c>
      <c r="V34" s="13">
        <f>181+23</f>
        <v>204</v>
      </c>
      <c r="W34" s="18">
        <v>190</v>
      </c>
      <c r="Z34" s="18"/>
    </row>
    <row r="35" spans="1:32" x14ac:dyDescent="0.3">
      <c r="A35" s="19" t="s">
        <v>15</v>
      </c>
      <c r="B35" s="3">
        <v>2010</v>
      </c>
      <c r="C35" s="23">
        <v>172.56666666666666</v>
      </c>
      <c r="D35" s="8">
        <v>5647</v>
      </c>
      <c r="E35" s="11">
        <f>3479+W35</f>
        <v>3719</v>
      </c>
      <c r="F35" s="8">
        <f>-893-208</f>
        <v>-1101</v>
      </c>
      <c r="G35" s="8">
        <v>-157</v>
      </c>
      <c r="H35" s="8">
        <v>0</v>
      </c>
      <c r="I35" s="8">
        <v>-453</v>
      </c>
      <c r="J35" s="8">
        <f t="shared" si="0"/>
        <v>7655</v>
      </c>
      <c r="K35" s="8">
        <v>-1518</v>
      </c>
      <c r="L35" s="8">
        <f t="shared" si="1"/>
        <v>6137</v>
      </c>
      <c r="M35" s="14">
        <v>-779</v>
      </c>
      <c r="N35" s="14">
        <v>291</v>
      </c>
      <c r="O35" s="14">
        <f t="shared" si="2"/>
        <v>5649</v>
      </c>
      <c r="P35" s="14">
        <f t="shared" si="3"/>
        <v>-3875</v>
      </c>
      <c r="Q35" s="14">
        <v>1774</v>
      </c>
      <c r="R35" s="14">
        <v>1614</v>
      </c>
      <c r="S35" s="14">
        <f t="shared" si="4"/>
        <v>1729</v>
      </c>
      <c r="T35" s="14">
        <f>5117</f>
        <v>5117</v>
      </c>
      <c r="U35" s="9">
        <v>12809</v>
      </c>
      <c r="V35" s="13">
        <f>189+92</f>
        <v>281</v>
      </c>
      <c r="W35" s="18">
        <v>240</v>
      </c>
      <c r="Z35" s="18"/>
    </row>
    <row r="36" spans="1:32" x14ac:dyDescent="0.3">
      <c r="A36" s="19" t="s">
        <v>15</v>
      </c>
      <c r="B36" s="3">
        <v>2011</v>
      </c>
      <c r="C36" s="23">
        <v>199.03333333333333</v>
      </c>
      <c r="D36" s="8">
        <v>6024</v>
      </c>
      <c r="E36" s="11">
        <f>5090+W36</f>
        <v>5611</v>
      </c>
      <c r="F36" s="8">
        <f>-1073-402</f>
        <v>-1475</v>
      </c>
      <c r="G36" s="8">
        <v>-192</v>
      </c>
      <c r="H36" s="8">
        <v>0</v>
      </c>
      <c r="I36" s="8">
        <f>-548-4967</f>
        <v>-5515</v>
      </c>
      <c r="J36" s="8">
        <f t="shared" si="0"/>
        <v>4453</v>
      </c>
      <c r="K36" s="8">
        <v>-1759</v>
      </c>
      <c r="L36" s="8">
        <f t="shared" si="1"/>
        <v>2694</v>
      </c>
      <c r="M36" s="14">
        <v>-723</v>
      </c>
      <c r="N36" s="14">
        <v>25</v>
      </c>
      <c r="O36" s="14">
        <f t="shared" si="2"/>
        <v>1996</v>
      </c>
      <c r="P36" s="14">
        <f t="shared" si="3"/>
        <v>-239</v>
      </c>
      <c r="Q36" s="14">
        <v>1757</v>
      </c>
      <c r="R36" s="14">
        <v>1923</v>
      </c>
      <c r="S36" s="14">
        <f t="shared" si="4"/>
        <v>2223</v>
      </c>
      <c r="T36" s="14">
        <f>5903</f>
        <v>5903</v>
      </c>
      <c r="U36" s="9">
        <v>11812</v>
      </c>
      <c r="V36" s="13">
        <v>379</v>
      </c>
      <c r="W36" s="18">
        <v>521</v>
      </c>
      <c r="Z36" s="18"/>
    </row>
    <row r="37" spans="1:32" x14ac:dyDescent="0.3">
      <c r="A37" s="20" t="s">
        <v>15</v>
      </c>
      <c r="B37" s="4">
        <v>2012</v>
      </c>
      <c r="C37" s="24">
        <v>237.06666666666666</v>
      </c>
      <c r="D37" s="10">
        <v>6278</v>
      </c>
      <c r="E37" s="11">
        <f>5431+W37</f>
        <v>6038</v>
      </c>
      <c r="F37" s="10">
        <f>-1304-465</f>
        <v>-1769</v>
      </c>
      <c r="G37" s="10">
        <v>-188</v>
      </c>
      <c r="H37" s="10">
        <v>0</v>
      </c>
      <c r="I37" s="10">
        <f>-535-5312</f>
        <v>-5847</v>
      </c>
      <c r="J37" s="10">
        <f t="shared" si="0"/>
        <v>4512</v>
      </c>
      <c r="K37" s="10">
        <v>-2624</v>
      </c>
      <c r="L37" s="8">
        <f t="shared" si="1"/>
        <v>1888</v>
      </c>
      <c r="M37" s="14">
        <v>-802</v>
      </c>
      <c r="N37" s="14">
        <v>-44</v>
      </c>
      <c r="O37" s="14">
        <f t="shared" si="2"/>
        <v>1042</v>
      </c>
      <c r="P37" s="14">
        <f t="shared" si="3"/>
        <v>-1636</v>
      </c>
      <c r="Q37" s="14">
        <v>-594</v>
      </c>
      <c r="R37" s="14">
        <v>2811</v>
      </c>
      <c r="S37" s="14">
        <f t="shared" si="4"/>
        <v>620</v>
      </c>
      <c r="T37" s="14">
        <f>2837</f>
        <v>2837</v>
      </c>
      <c r="U37" s="9">
        <v>11391</v>
      </c>
      <c r="V37" s="13">
        <v>398</v>
      </c>
      <c r="W37" s="18">
        <v>607</v>
      </c>
      <c r="Z37" s="18"/>
    </row>
    <row r="38" spans="1:32" x14ac:dyDescent="0.3">
      <c r="A38" s="19" t="s">
        <v>15</v>
      </c>
      <c r="B38" s="3">
        <v>2013</v>
      </c>
      <c r="C38" s="23">
        <v>244.5</v>
      </c>
      <c r="D38" s="8">
        <v>8626</v>
      </c>
      <c r="E38" s="9">
        <f>9559+W38</f>
        <v>10454</v>
      </c>
      <c r="F38" s="8">
        <f>-1159-1574-736</f>
        <v>-3469</v>
      </c>
      <c r="G38" s="8">
        <v>-229</v>
      </c>
      <c r="H38" s="8">
        <v>0</v>
      </c>
      <c r="I38" s="8">
        <f>-457-9461</f>
        <v>-9918</v>
      </c>
      <c r="J38" s="8">
        <f t="shared" si="0"/>
        <v>5464</v>
      </c>
      <c r="K38" s="8">
        <v>-2674</v>
      </c>
      <c r="L38" s="8">
        <f t="shared" si="1"/>
        <v>2790</v>
      </c>
      <c r="M38" s="15">
        <v>-894</v>
      </c>
      <c r="N38" s="8">
        <v>-26</v>
      </c>
      <c r="O38" s="8">
        <f t="shared" si="2"/>
        <v>1870</v>
      </c>
      <c r="P38" s="8">
        <f t="shared" si="3"/>
        <v>-976</v>
      </c>
      <c r="Q38" s="14">
        <v>894</v>
      </c>
      <c r="R38" s="14">
        <v>2903</v>
      </c>
      <c r="S38" s="14">
        <f t="shared" si="4"/>
        <v>817</v>
      </c>
      <c r="T38" s="14">
        <f>4614</f>
        <v>4614</v>
      </c>
      <c r="U38" s="11">
        <v>5784</v>
      </c>
      <c r="V38" s="13">
        <v>404</v>
      </c>
      <c r="W38" s="18">
        <v>895</v>
      </c>
      <c r="Z38" s="18"/>
    </row>
    <row r="39" spans="1:32" x14ac:dyDescent="0.3">
      <c r="A39" s="19" t="s">
        <v>15</v>
      </c>
      <c r="B39" s="3">
        <v>2014</v>
      </c>
      <c r="C39" s="23">
        <v>257.90000000000003</v>
      </c>
      <c r="D39" s="27">
        <v>10354</v>
      </c>
      <c r="E39" s="9">
        <f>12225+W39</f>
        <v>12771</v>
      </c>
      <c r="F39" s="27">
        <f>-1208-2174-431</f>
        <v>-3813</v>
      </c>
      <c r="G39" s="8">
        <v>-232</v>
      </c>
      <c r="H39" s="8">
        <v>0</v>
      </c>
      <c r="I39" s="8">
        <f>-322-12236</f>
        <v>-12558</v>
      </c>
      <c r="J39" s="8">
        <f>SUM(D39:I39)</f>
        <v>6522</v>
      </c>
      <c r="K39" s="8">
        <v>-2756</v>
      </c>
      <c r="L39" s="8">
        <f t="shared" si="1"/>
        <v>3766</v>
      </c>
      <c r="M39" s="15">
        <v>-768</v>
      </c>
      <c r="N39" s="8">
        <v>-10</v>
      </c>
      <c r="O39" s="8">
        <f t="shared" si="2"/>
        <v>2988</v>
      </c>
      <c r="P39" s="8">
        <f t="shared" si="3"/>
        <v>-932</v>
      </c>
      <c r="Q39" s="15">
        <v>2056</v>
      </c>
      <c r="R39" s="15">
        <v>2915</v>
      </c>
      <c r="S39" s="15">
        <f t="shared" si="4"/>
        <v>-337</v>
      </c>
      <c r="T39" s="15">
        <f>4634</f>
        <v>4634</v>
      </c>
      <c r="U39" s="11">
        <v>5420</v>
      </c>
      <c r="V39" s="13">
        <v>405</v>
      </c>
      <c r="W39" s="18">
        <v>546</v>
      </c>
      <c r="Z39" s="18"/>
    </row>
    <row r="40" spans="1:32" x14ac:dyDescent="0.3">
      <c r="A40" s="19" t="s">
        <v>15</v>
      </c>
      <c r="B40" s="3">
        <v>2015</v>
      </c>
      <c r="C40" s="23">
        <v>247.93333333333334</v>
      </c>
      <c r="D40" s="8">
        <v>5391</v>
      </c>
      <c r="E40" s="11">
        <f>7373+W40</f>
        <v>7373</v>
      </c>
      <c r="F40" s="8">
        <f>-1046-2119-0</f>
        <v>-3165</v>
      </c>
      <c r="G40" s="8">
        <v>-99</v>
      </c>
      <c r="H40" s="8">
        <v>0</v>
      </c>
      <c r="I40" s="8">
        <f>-7130-235</f>
        <v>-7365</v>
      </c>
      <c r="J40" s="8">
        <f t="shared" si="0"/>
        <v>2135</v>
      </c>
      <c r="K40" s="8">
        <v>-2170</v>
      </c>
      <c r="L40" s="8">
        <f t="shared" si="1"/>
        <v>-35</v>
      </c>
      <c r="M40" s="8">
        <v>-694</v>
      </c>
      <c r="N40" s="15">
        <v>-44</v>
      </c>
      <c r="O40" s="15">
        <f t="shared" si="2"/>
        <v>-773</v>
      </c>
      <c r="P40" s="15">
        <f t="shared" si="3"/>
        <v>-13862</v>
      </c>
      <c r="Q40" s="15">
        <v>-14635</v>
      </c>
      <c r="R40" s="15">
        <v>2229</v>
      </c>
      <c r="S40" s="15">
        <f t="shared" si="4"/>
        <v>13640</v>
      </c>
      <c r="T40" s="15">
        <v>1234</v>
      </c>
      <c r="U40" s="11">
        <v>3112</v>
      </c>
      <c r="V40" s="13">
        <v>289</v>
      </c>
      <c r="W40" s="18">
        <v>0</v>
      </c>
      <c r="Z40" s="18"/>
    </row>
    <row r="41" spans="1:32" x14ac:dyDescent="0.3">
      <c r="A41" s="21" t="s">
        <v>15</v>
      </c>
      <c r="B41" s="94">
        <v>2016</v>
      </c>
      <c r="C41" s="95">
        <v>233</v>
      </c>
      <c r="D41" s="96">
        <v>3288</v>
      </c>
      <c r="E41" s="97">
        <v>4584</v>
      </c>
      <c r="F41" s="96">
        <f>-710-1855-0</f>
        <v>-2565</v>
      </c>
      <c r="G41" s="96">
        <v>-74</v>
      </c>
      <c r="H41" s="96">
        <v>0</v>
      </c>
      <c r="I41" s="96">
        <f>-4778-240</f>
        <v>-5018</v>
      </c>
      <c r="J41" s="96">
        <f t="shared" si="0"/>
        <v>215</v>
      </c>
      <c r="K41" s="96">
        <v>-1024</v>
      </c>
      <c r="L41" s="96">
        <f t="shared" si="1"/>
        <v>-809</v>
      </c>
      <c r="M41" s="96">
        <f>-588-46-35</f>
        <v>-669</v>
      </c>
      <c r="N41" s="98">
        <v>27</v>
      </c>
      <c r="O41" s="98">
        <f t="shared" si="2"/>
        <v>-1451</v>
      </c>
      <c r="P41" s="98">
        <f t="shared" si="3"/>
        <v>-2948</v>
      </c>
      <c r="Q41" s="98">
        <v>-4399</v>
      </c>
      <c r="R41" s="98">
        <v>1107</v>
      </c>
      <c r="S41" s="98">
        <f t="shared" si="4"/>
        <v>3088</v>
      </c>
      <c r="T41" s="98">
        <v>-204</v>
      </c>
      <c r="U41" s="97">
        <f>2170-242+57</f>
        <v>1985</v>
      </c>
      <c r="V41" s="13">
        <v>0</v>
      </c>
      <c r="W41" s="18">
        <v>0</v>
      </c>
      <c r="X41" s="105" t="s">
        <v>0</v>
      </c>
      <c r="Y41" s="104" t="s">
        <v>117</v>
      </c>
      <c r="Z41" s="18"/>
    </row>
    <row r="42" spans="1:32" x14ac:dyDescent="0.3">
      <c r="A42" s="19" t="s">
        <v>105</v>
      </c>
      <c r="B42" s="3">
        <v>2007</v>
      </c>
      <c r="C42" s="23"/>
      <c r="D42" s="8"/>
      <c r="E42" s="11"/>
      <c r="F42" s="8"/>
      <c r="G42" s="8"/>
      <c r="H42" s="8"/>
      <c r="I42" s="8"/>
      <c r="J42" s="8">
        <f t="shared" si="0"/>
        <v>0</v>
      </c>
      <c r="K42" s="8"/>
      <c r="L42" s="8">
        <f t="shared" si="1"/>
        <v>0</v>
      </c>
      <c r="M42" s="8"/>
      <c r="N42" s="15"/>
      <c r="O42" s="8">
        <f t="shared" ref="O42:O51" si="12">+SUM(L42:N42)</f>
        <v>0</v>
      </c>
      <c r="P42" s="8">
        <f t="shared" ref="P42:P51" si="13">+Q42-O42</f>
        <v>0</v>
      </c>
      <c r="Q42" s="15"/>
      <c r="R42" s="15"/>
      <c r="S42" s="8">
        <f t="shared" si="4"/>
        <v>0</v>
      </c>
      <c r="T42" s="15"/>
      <c r="U42" s="11"/>
      <c r="V42" s="13">
        <v>0</v>
      </c>
      <c r="W42" s="18"/>
      <c r="Z42" s="18"/>
    </row>
    <row r="43" spans="1:32" x14ac:dyDescent="0.3">
      <c r="A43" s="19" t="s">
        <v>105</v>
      </c>
      <c r="B43" s="3">
        <v>2008</v>
      </c>
      <c r="C43" s="23"/>
      <c r="D43" s="8"/>
      <c r="E43" s="11"/>
      <c r="F43" s="8"/>
      <c r="G43" s="8"/>
      <c r="H43" s="8"/>
      <c r="I43" s="8"/>
      <c r="J43" s="8">
        <f t="shared" si="0"/>
        <v>0</v>
      </c>
      <c r="K43" s="8"/>
      <c r="L43" s="8">
        <f t="shared" si="1"/>
        <v>0</v>
      </c>
      <c r="M43" s="8"/>
      <c r="N43" s="15"/>
      <c r="O43" s="8">
        <f t="shared" si="12"/>
        <v>0</v>
      </c>
      <c r="P43" s="8">
        <f t="shared" si="13"/>
        <v>0</v>
      </c>
      <c r="Q43" s="15"/>
      <c r="R43" s="15"/>
      <c r="S43" s="8">
        <f t="shared" si="4"/>
        <v>0</v>
      </c>
      <c r="T43" s="15"/>
      <c r="U43" s="11"/>
      <c r="V43" s="13">
        <v>0</v>
      </c>
      <c r="W43" s="18"/>
      <c r="X43" s="105" t="s">
        <v>75</v>
      </c>
      <c r="Y43" s="104" t="s">
        <v>77</v>
      </c>
      <c r="Z43" s="104" t="s">
        <v>80</v>
      </c>
      <c r="AA43" s="104" t="s">
        <v>79</v>
      </c>
      <c r="AB43" s="104" t="s">
        <v>78</v>
      </c>
      <c r="AC43" s="104" t="s">
        <v>81</v>
      </c>
      <c r="AD43" s="104" t="s">
        <v>82</v>
      </c>
      <c r="AE43" s="104" t="s">
        <v>83</v>
      </c>
      <c r="AF43" s="104" t="s">
        <v>84</v>
      </c>
    </row>
    <row r="44" spans="1:32" x14ac:dyDescent="0.3">
      <c r="A44" s="19" t="s">
        <v>105</v>
      </c>
      <c r="B44" s="3">
        <v>2009</v>
      </c>
      <c r="C44" s="23">
        <v>10.930666666666667</v>
      </c>
      <c r="D44" s="8">
        <v>510.767</v>
      </c>
      <c r="E44" s="11">
        <v>0</v>
      </c>
      <c r="F44" s="8">
        <f>-97.667-G44</f>
        <v>-56.048000000000002</v>
      </c>
      <c r="G44" s="8">
        <f>-4.912-36.707</f>
        <v>-41.619</v>
      </c>
      <c r="H44" s="8">
        <v>-10.632</v>
      </c>
      <c r="I44" s="8">
        <v>-53.162999999999997</v>
      </c>
      <c r="J44" s="8">
        <f t="shared" si="0"/>
        <v>349.30500000000001</v>
      </c>
      <c r="K44" s="8">
        <v>-191.88900000000001</v>
      </c>
      <c r="L44" s="8">
        <f t="shared" si="1"/>
        <v>157.416</v>
      </c>
      <c r="M44" s="8">
        <v>-14.862</v>
      </c>
      <c r="N44" s="15">
        <v>-7.2990000000000004</v>
      </c>
      <c r="O44" s="14">
        <f t="shared" si="12"/>
        <v>135.255</v>
      </c>
      <c r="P44" s="14">
        <f t="shared" si="13"/>
        <v>-145.05699999999999</v>
      </c>
      <c r="Q44" s="15">
        <v>-9.8019999999999996</v>
      </c>
      <c r="R44" s="15">
        <f>-K44</f>
        <v>191.88900000000001</v>
      </c>
      <c r="S44" s="14">
        <f t="shared" si="4"/>
        <v>177.45899999999997</v>
      </c>
      <c r="T44" s="15">
        <v>359.54599999999999</v>
      </c>
      <c r="U44" s="11">
        <v>673.98</v>
      </c>
      <c r="V44" s="13">
        <v>0</v>
      </c>
      <c r="W44" s="18"/>
      <c r="X44" s="106">
        <v>2009</v>
      </c>
      <c r="Y44" s="111">
        <v>130106.35500000001</v>
      </c>
      <c r="Z44" s="111">
        <v>25256.625</v>
      </c>
      <c r="AA44" s="111">
        <v>4960.2069999999994</v>
      </c>
      <c r="AB44" s="111">
        <v>6866.4630000000006</v>
      </c>
      <c r="AC44" s="111">
        <v>9453.0800000000017</v>
      </c>
      <c r="AD44" s="111">
        <v>30947.275000000005</v>
      </c>
      <c r="AE44" s="111">
        <v>5971.6097099999997</v>
      </c>
      <c r="AF44" s="111">
        <v>6968.7060000000001</v>
      </c>
    </row>
    <row r="45" spans="1:32" x14ac:dyDescent="0.3">
      <c r="A45" s="19" t="s">
        <v>105</v>
      </c>
      <c r="B45" s="3">
        <v>2010</v>
      </c>
      <c r="C45" s="23">
        <v>15.564166666666667</v>
      </c>
      <c r="D45" s="8">
        <v>940.26700000000005</v>
      </c>
      <c r="E45" s="11">
        <v>0</v>
      </c>
      <c r="F45" s="8">
        <f>-166.409-G45</f>
        <v>-86.533999999999992</v>
      </c>
      <c r="G45" s="8">
        <f>-8.708-71.167</f>
        <v>-79.875</v>
      </c>
      <c r="H45" s="8">
        <v>-10.324</v>
      </c>
      <c r="I45" s="8">
        <v>-94.275000000000006</v>
      </c>
      <c r="J45" s="8">
        <f t="shared" si="0"/>
        <v>669.25900000000013</v>
      </c>
      <c r="K45" s="8">
        <v>-241.642</v>
      </c>
      <c r="L45" s="8">
        <f t="shared" si="1"/>
        <v>427.61700000000013</v>
      </c>
      <c r="M45" s="8">
        <v>-48.052</v>
      </c>
      <c r="N45" s="15">
        <v>-19.885000000000002</v>
      </c>
      <c r="O45" s="14">
        <f t="shared" si="12"/>
        <v>359.68000000000012</v>
      </c>
      <c r="P45" s="14">
        <f t="shared" si="13"/>
        <v>-155.31000000000012</v>
      </c>
      <c r="Q45" s="15">
        <v>204.37</v>
      </c>
      <c r="R45" s="15">
        <f t="shared" ref="R45:R51" si="14">-K45</f>
        <v>241.642</v>
      </c>
      <c r="S45" s="14">
        <f t="shared" si="4"/>
        <v>205.57</v>
      </c>
      <c r="T45" s="15">
        <v>651.58199999999999</v>
      </c>
      <c r="U45" s="11">
        <v>2370.7999999999997</v>
      </c>
      <c r="V45" s="13">
        <v>0</v>
      </c>
      <c r="W45" s="18"/>
      <c r="X45" s="106">
        <v>2010</v>
      </c>
      <c r="Y45" s="111">
        <v>154394.88499999998</v>
      </c>
      <c r="Z45" s="111">
        <v>24706.453999999998</v>
      </c>
      <c r="AA45" s="111">
        <v>5213.7819999999992</v>
      </c>
      <c r="AB45" s="111">
        <v>9685.3580000000002</v>
      </c>
      <c r="AC45" s="111">
        <v>9279.6939999999995</v>
      </c>
      <c r="AD45" s="111">
        <v>31892.881000000001</v>
      </c>
      <c r="AE45" s="111">
        <v>6169.1056121874999</v>
      </c>
      <c r="AF45" s="111">
        <v>11665.72</v>
      </c>
    </row>
    <row r="46" spans="1:32" x14ac:dyDescent="0.3">
      <c r="A46" s="19" t="s">
        <v>105</v>
      </c>
      <c r="B46" s="3">
        <v>2011</v>
      </c>
      <c r="C46" s="23">
        <v>23.644333333333336</v>
      </c>
      <c r="D46" s="8">
        <v>1617.771</v>
      </c>
      <c r="E46" s="11">
        <v>0</v>
      </c>
      <c r="F46" s="8">
        <f>-277.929-G46</f>
        <v>-146.88799999999998</v>
      </c>
      <c r="G46" s="8">
        <f>-8.854-122.187</f>
        <v>-131.041</v>
      </c>
      <c r="H46" s="8">
        <v>-11.394</v>
      </c>
      <c r="I46" s="8">
        <v>-98.525000000000006</v>
      </c>
      <c r="J46" s="8">
        <f t="shared" si="0"/>
        <v>1229.923</v>
      </c>
      <c r="K46" s="8">
        <v>-400.02199999999999</v>
      </c>
      <c r="L46" s="8">
        <f t="shared" si="1"/>
        <v>829.90100000000007</v>
      </c>
      <c r="M46" s="8">
        <v>-77.921000000000006</v>
      </c>
      <c r="N46" s="15">
        <v>-22.768000000000001</v>
      </c>
      <c r="O46" s="14">
        <f t="shared" si="12"/>
        <v>729.21199999999999</v>
      </c>
      <c r="P46" s="14">
        <f t="shared" si="13"/>
        <v>-181.07500000000005</v>
      </c>
      <c r="Q46" s="15">
        <v>548.13699999999994</v>
      </c>
      <c r="R46" s="15">
        <f t="shared" si="14"/>
        <v>400.02199999999999</v>
      </c>
      <c r="S46" s="14">
        <f t="shared" si="4"/>
        <v>251.29900000000021</v>
      </c>
      <c r="T46" s="15">
        <v>1199.4580000000001</v>
      </c>
      <c r="U46" s="11">
        <v>1818.1310000000003</v>
      </c>
      <c r="V46" s="13">
        <v>0</v>
      </c>
      <c r="W46" s="18"/>
      <c r="X46" s="106">
        <v>2011</v>
      </c>
      <c r="Y46" s="111">
        <v>183166.201</v>
      </c>
      <c r="Z46" s="111">
        <v>29611.414999999997</v>
      </c>
      <c r="AA46" s="111">
        <v>4166.7070000000003</v>
      </c>
      <c r="AB46" s="111">
        <v>10694.011600000002</v>
      </c>
      <c r="AC46" s="111">
        <v>20438.173999999999</v>
      </c>
      <c r="AD46" s="111">
        <v>33581.010999999999</v>
      </c>
      <c r="AE46" s="111">
        <v>6239.3132662500002</v>
      </c>
      <c r="AF46" s="111">
        <v>18832.195</v>
      </c>
    </row>
    <row r="47" spans="1:32" x14ac:dyDescent="0.3">
      <c r="A47" s="19" t="s">
        <v>105</v>
      </c>
      <c r="B47" s="4">
        <v>2012</v>
      </c>
      <c r="C47" s="23">
        <v>29.768166666666666</v>
      </c>
      <c r="D47" s="8">
        <v>1819.8140000000001</v>
      </c>
      <c r="E47" s="11">
        <v>0</v>
      </c>
      <c r="F47" s="8">
        <f>-343.743-G47</f>
        <v>-192.94200000000001</v>
      </c>
      <c r="G47" s="8">
        <f>-13.695-137.106</f>
        <v>-150.80099999999999</v>
      </c>
      <c r="H47" s="8">
        <v>-39.840000000000003</v>
      </c>
      <c r="I47" s="8">
        <v>-133.79599999999999</v>
      </c>
      <c r="J47" s="10">
        <f t="shared" si="0"/>
        <v>1302.4350000000002</v>
      </c>
      <c r="K47" s="8">
        <v>-575.12800000000004</v>
      </c>
      <c r="L47" s="8">
        <f t="shared" si="1"/>
        <v>727.30700000000013</v>
      </c>
      <c r="M47" s="8">
        <v>-158.715</v>
      </c>
      <c r="N47" s="15">
        <v>-19.673999999999999</v>
      </c>
      <c r="O47" s="14">
        <f t="shared" si="12"/>
        <v>548.91800000000012</v>
      </c>
      <c r="P47" s="14">
        <f t="shared" si="13"/>
        <v>-117.2290000000001</v>
      </c>
      <c r="Q47" s="15">
        <v>431.68900000000002</v>
      </c>
      <c r="R47" s="15">
        <f t="shared" si="14"/>
        <v>575.12800000000004</v>
      </c>
      <c r="S47" s="14">
        <f t="shared" si="4"/>
        <v>230.66100000000006</v>
      </c>
      <c r="T47" s="15">
        <v>1237.4780000000001</v>
      </c>
      <c r="U47" s="11">
        <v>2803.1109999999999</v>
      </c>
      <c r="V47" s="13">
        <v>0</v>
      </c>
      <c r="W47" s="18"/>
      <c r="X47" s="106">
        <v>2012</v>
      </c>
      <c r="Y47" s="111">
        <v>177226.14900000003</v>
      </c>
      <c r="Z47" s="111">
        <v>31801.368999999999</v>
      </c>
      <c r="AA47" s="111">
        <v>5441.1689999999999</v>
      </c>
      <c r="AB47" s="111">
        <v>9865.9269999999997</v>
      </c>
      <c r="AC47" s="111">
        <v>21402.622000000003</v>
      </c>
      <c r="AD47" s="111">
        <v>37449.482000000004</v>
      </c>
      <c r="AE47" s="111">
        <v>6535.4799918999997</v>
      </c>
      <c r="AF47" s="111">
        <v>19914.472999999998</v>
      </c>
    </row>
    <row r="48" spans="1:32" x14ac:dyDescent="0.3">
      <c r="A48" s="19" t="s">
        <v>105</v>
      </c>
      <c r="B48" s="3">
        <v>2013</v>
      </c>
      <c r="C48" s="23">
        <v>33.635000000000005</v>
      </c>
      <c r="D48" s="8">
        <v>2319.9189999999999</v>
      </c>
      <c r="E48" s="11">
        <v>0</v>
      </c>
      <c r="F48" s="8">
        <f>-455.436-G48</f>
        <v>-263.87199999999996</v>
      </c>
      <c r="G48" s="8">
        <f>-22.979-168.585</f>
        <v>-191.56400000000002</v>
      </c>
      <c r="H48" s="8">
        <v>-109.54900000000001</v>
      </c>
      <c r="I48" s="8">
        <v>-169.815</v>
      </c>
      <c r="J48" s="8">
        <f t="shared" si="0"/>
        <v>1585.1189999999999</v>
      </c>
      <c r="K48" s="8">
        <v>-772.60799999999995</v>
      </c>
      <c r="L48" s="8">
        <f t="shared" si="1"/>
        <v>812.51099999999997</v>
      </c>
      <c r="M48" s="8">
        <v>-200.96100000000001</v>
      </c>
      <c r="N48" s="15">
        <v>-21.376000000000001</v>
      </c>
      <c r="O48" s="8">
        <f t="shared" si="12"/>
        <v>590.17399999999998</v>
      </c>
      <c r="P48" s="8">
        <f t="shared" si="13"/>
        <v>-339.17099999999999</v>
      </c>
      <c r="Q48" s="15">
        <v>251.00299999999999</v>
      </c>
      <c r="R48" s="15">
        <f t="shared" si="14"/>
        <v>772.60799999999995</v>
      </c>
      <c r="S48" s="14">
        <f t="shared" si="4"/>
        <v>338.40900000000011</v>
      </c>
      <c r="T48" s="15">
        <v>1362.02</v>
      </c>
      <c r="U48" s="11">
        <v>1853.1209999999999</v>
      </c>
      <c r="V48" s="13">
        <v>0</v>
      </c>
      <c r="W48" s="18"/>
      <c r="X48" s="106">
        <v>2013</v>
      </c>
      <c r="Y48" s="111">
        <v>188702.571</v>
      </c>
      <c r="Z48" s="111">
        <v>35787.605000000003</v>
      </c>
      <c r="AA48" s="111">
        <v>5334.0709999999999</v>
      </c>
      <c r="AB48" s="111">
        <v>8268.58</v>
      </c>
      <c r="AC48" s="111">
        <v>24787.909</v>
      </c>
      <c r="AD48" s="111">
        <v>39276.862999999998</v>
      </c>
      <c r="AE48" s="111">
        <v>7139.1610767500006</v>
      </c>
      <c r="AF48" s="111">
        <v>14164.215</v>
      </c>
    </row>
    <row r="49" spans="1:32" x14ac:dyDescent="0.3">
      <c r="A49" s="19" t="s">
        <v>105</v>
      </c>
      <c r="B49" s="3">
        <v>2014</v>
      </c>
      <c r="C49" s="23">
        <v>40.875</v>
      </c>
      <c r="D49" s="8">
        <v>2660.1469999999999</v>
      </c>
      <c r="E49" s="11">
        <v>0</v>
      </c>
      <c r="F49" s="8">
        <f>-538.374-G49</f>
        <v>-329.25099999999998</v>
      </c>
      <c r="G49" s="8">
        <f>-20.775-188.348</f>
        <v>-209.12300000000002</v>
      </c>
      <c r="H49" s="8">
        <v>-284.82100000000003</v>
      </c>
      <c r="I49" s="8">
        <v>-204.161</v>
      </c>
      <c r="J49" s="8">
        <f>SUM(D49:I49)</f>
        <v>1632.7909999999997</v>
      </c>
      <c r="K49" s="8">
        <v>-979.74</v>
      </c>
      <c r="L49" s="8">
        <f t="shared" si="1"/>
        <v>653.0509999999997</v>
      </c>
      <c r="M49" s="8">
        <v>-211.34200000000001</v>
      </c>
      <c r="N49" s="15">
        <v>-27.844000000000001</v>
      </c>
      <c r="O49" s="8">
        <f t="shared" si="12"/>
        <v>413.86499999999972</v>
      </c>
      <c r="P49" s="8">
        <f t="shared" si="13"/>
        <v>124.31000000000023</v>
      </c>
      <c r="Q49" s="15">
        <v>538.17499999999995</v>
      </c>
      <c r="R49" s="15">
        <f t="shared" si="14"/>
        <v>979.74</v>
      </c>
      <c r="S49" s="15">
        <f t="shared" si="4"/>
        <v>155.87200000000007</v>
      </c>
      <c r="T49" s="15">
        <v>1673.787</v>
      </c>
      <c r="U49" s="11">
        <v>2934.3770000000004</v>
      </c>
      <c r="V49" s="13">
        <v>0</v>
      </c>
      <c r="W49" s="18"/>
      <c r="X49" s="106">
        <v>2014</v>
      </c>
      <c r="Y49" s="111">
        <v>199501.74</v>
      </c>
      <c r="Z49" s="111">
        <v>37241.425000000003</v>
      </c>
      <c r="AA49" s="111">
        <v>6315.0599999999995</v>
      </c>
      <c r="AB49" s="111">
        <v>8614.0139999999992</v>
      </c>
      <c r="AC49" s="111">
        <v>34596.881999999998</v>
      </c>
      <c r="AD49" s="111">
        <v>43561.602999999996</v>
      </c>
      <c r="AE49" s="111">
        <v>6862.9111590833327</v>
      </c>
      <c r="AF49" s="111">
        <v>13034.915000000001</v>
      </c>
    </row>
    <row r="50" spans="1:32" x14ac:dyDescent="0.3">
      <c r="A50" s="19" t="s">
        <v>105</v>
      </c>
      <c r="B50" s="3">
        <v>2015</v>
      </c>
      <c r="C50" s="23">
        <v>52.288166666666669</v>
      </c>
      <c r="D50" s="8">
        <v>1803.5730000000001</v>
      </c>
      <c r="E50" s="11">
        <v>0</v>
      </c>
      <c r="F50" s="8">
        <f>-541.359-G50</f>
        <v>-389.70400000000006</v>
      </c>
      <c r="G50" s="8">
        <f>-22.921-128.734</f>
        <v>-151.655</v>
      </c>
      <c r="H50" s="8">
        <v>-58.847000000000001</v>
      </c>
      <c r="I50" s="8">
        <v>-230.73400000000001</v>
      </c>
      <c r="J50" s="8">
        <f t="shared" si="0"/>
        <v>972.63300000000015</v>
      </c>
      <c r="K50" s="8">
        <v>-1223.2529999999999</v>
      </c>
      <c r="L50" s="8">
        <f t="shared" si="1"/>
        <v>-250.61999999999978</v>
      </c>
      <c r="M50" s="8">
        <v>-211.44300000000001</v>
      </c>
      <c r="N50" s="15">
        <v>-3.95</v>
      </c>
      <c r="O50" s="15">
        <f t="shared" si="12"/>
        <v>-466.01299999999975</v>
      </c>
      <c r="P50" s="15">
        <f t="shared" si="13"/>
        <v>531.91299999999978</v>
      </c>
      <c r="Q50" s="15">
        <v>65.900000000000006</v>
      </c>
      <c r="R50" s="15">
        <f t="shared" si="14"/>
        <v>1223.2529999999999</v>
      </c>
      <c r="S50" s="15">
        <f t="shared" si="4"/>
        <v>241.26800000000003</v>
      </c>
      <c r="T50" s="15">
        <f>897.505+632.916</f>
        <v>1530.421</v>
      </c>
      <c r="U50" s="11">
        <v>2102.3429999999998</v>
      </c>
      <c r="V50" s="13">
        <v>0</v>
      </c>
      <c r="W50" s="18"/>
      <c r="X50" s="106">
        <v>2015</v>
      </c>
      <c r="Y50" s="111">
        <v>116616.947</v>
      </c>
      <c r="Z50" s="111">
        <v>33243.900999999998</v>
      </c>
      <c r="AA50" s="111">
        <v>9664.3659999999982</v>
      </c>
      <c r="AB50" s="111">
        <v>4476.7049999999999</v>
      </c>
      <c r="AC50" s="111">
        <v>25629.427</v>
      </c>
      <c r="AD50" s="111">
        <v>44014.398000000001</v>
      </c>
      <c r="AE50" s="111">
        <v>7038.7256223500008</v>
      </c>
      <c r="AF50" s="111">
        <v>2162.7379999999998</v>
      </c>
    </row>
    <row r="51" spans="1:32" x14ac:dyDescent="0.3">
      <c r="A51" s="21" t="s">
        <v>105</v>
      </c>
      <c r="B51" s="94">
        <v>2016</v>
      </c>
      <c r="C51" s="95">
        <v>55.087000000000003</v>
      </c>
      <c r="D51" s="96">
        <v>1634.9880000000001</v>
      </c>
      <c r="E51" s="97">
        <v>0</v>
      </c>
      <c r="F51" s="96">
        <f>-541.359-G51</f>
        <v>-409.90899999999999</v>
      </c>
      <c r="G51" s="96">
        <f>-14.017-117.433</f>
        <v>-131.45000000000002</v>
      </c>
      <c r="H51" s="96">
        <v>-77.453999999999994</v>
      </c>
      <c r="I51" s="96">
        <v>-225.565</v>
      </c>
      <c r="J51" s="96">
        <f t="shared" si="0"/>
        <v>790.61000000000013</v>
      </c>
      <c r="K51" s="96">
        <v>-1167.2080000000001</v>
      </c>
      <c r="L51" s="96">
        <f t="shared" si="1"/>
        <v>-376.59799999999996</v>
      </c>
      <c r="M51" s="96">
        <v>-232.173</v>
      </c>
      <c r="N51" s="98">
        <v>0</v>
      </c>
      <c r="O51" s="98">
        <f t="shared" si="12"/>
        <v>-608.77099999999996</v>
      </c>
      <c r="P51" s="98">
        <f t="shared" si="13"/>
        <v>-853.67499999999995</v>
      </c>
      <c r="Q51" s="98">
        <v>-1462.4459999999999</v>
      </c>
      <c r="R51" s="98">
        <f t="shared" si="14"/>
        <v>1167.2080000000001</v>
      </c>
      <c r="S51" s="98">
        <f t="shared" si="4"/>
        <v>1679.6859999999999</v>
      </c>
      <c r="T51" s="103">
        <v>1384.4480000000001</v>
      </c>
      <c r="U51" s="97">
        <f>3285.987-1067-1046</f>
        <v>1172.9870000000001</v>
      </c>
      <c r="V51" s="13">
        <v>0</v>
      </c>
      <c r="W51" s="18"/>
      <c r="X51" s="106">
        <v>2016</v>
      </c>
      <c r="Y51" s="111">
        <v>92190.03300000001</v>
      </c>
      <c r="Z51" s="111">
        <v>27678.152000000002</v>
      </c>
      <c r="AA51" s="111">
        <v>5106.0230000000001</v>
      </c>
      <c r="AB51" s="111">
        <v>3444.2139999999999</v>
      </c>
      <c r="AC51" s="111">
        <v>21138.37</v>
      </c>
      <c r="AD51" s="111">
        <v>36766.207000000002</v>
      </c>
      <c r="AE51" s="111">
        <v>7130.5466271208334</v>
      </c>
      <c r="AF51" s="111">
        <v>838.29499999999996</v>
      </c>
    </row>
    <row r="52" spans="1:32" x14ac:dyDescent="0.3">
      <c r="A52" s="20" t="s">
        <v>21</v>
      </c>
      <c r="B52" s="3">
        <v>2007</v>
      </c>
      <c r="C52" s="24">
        <v>668.5</v>
      </c>
      <c r="D52" s="8"/>
      <c r="E52" s="8"/>
      <c r="F52" s="8"/>
      <c r="G52" s="8"/>
      <c r="H52" s="8">
        <f>+H39/$C$39</f>
        <v>0</v>
      </c>
      <c r="I52" s="8"/>
      <c r="J52" s="8">
        <f t="shared" ref="J52:J152" si="15">SUM(D52:I52)</f>
        <v>0</v>
      </c>
      <c r="K52" s="8"/>
      <c r="L52" s="8">
        <f t="shared" si="1"/>
        <v>0</v>
      </c>
      <c r="M52" s="8">
        <v>0</v>
      </c>
      <c r="N52" s="8">
        <v>0</v>
      </c>
      <c r="O52" s="8">
        <f t="shared" si="2"/>
        <v>0</v>
      </c>
      <c r="P52" s="8">
        <f t="shared" si="3"/>
        <v>0</v>
      </c>
      <c r="Q52" s="8"/>
      <c r="R52" s="8">
        <v>0</v>
      </c>
      <c r="S52" s="8">
        <f t="shared" si="4"/>
        <v>0</v>
      </c>
      <c r="T52" s="8"/>
      <c r="U52" s="9"/>
      <c r="V52" s="13"/>
      <c r="W52" s="18"/>
      <c r="Z52" s="18"/>
    </row>
    <row r="53" spans="1:32" x14ac:dyDescent="0.3">
      <c r="A53" s="20" t="s">
        <v>21</v>
      </c>
      <c r="B53" s="3">
        <v>2008</v>
      </c>
      <c r="C53" s="24">
        <v>659.5</v>
      </c>
      <c r="D53" s="8"/>
      <c r="E53" s="9"/>
      <c r="F53" s="8">
        <v>0</v>
      </c>
      <c r="G53" s="8">
        <v>0</v>
      </c>
      <c r="H53" s="8">
        <v>0</v>
      </c>
      <c r="I53" s="8">
        <v>0</v>
      </c>
      <c r="J53" s="8">
        <f t="shared" si="15"/>
        <v>0</v>
      </c>
      <c r="K53" s="8"/>
      <c r="L53" s="8">
        <f t="shared" si="1"/>
        <v>0</v>
      </c>
      <c r="M53" s="8">
        <v>0</v>
      </c>
      <c r="N53" s="8">
        <v>0</v>
      </c>
      <c r="O53" s="8">
        <f t="shared" si="2"/>
        <v>0</v>
      </c>
      <c r="P53" s="8">
        <f t="shared" si="3"/>
        <v>0</v>
      </c>
      <c r="Q53" s="8"/>
      <c r="R53" s="8">
        <v>0</v>
      </c>
      <c r="S53" s="8">
        <f t="shared" si="4"/>
        <v>0</v>
      </c>
      <c r="T53" s="8"/>
      <c r="U53" s="9"/>
      <c r="V53" s="13">
        <v>2854</v>
      </c>
      <c r="W53" s="18"/>
      <c r="Z53" s="18"/>
    </row>
    <row r="54" spans="1:32" x14ac:dyDescent="0.3">
      <c r="A54" s="20" t="s">
        <v>21</v>
      </c>
      <c r="B54" s="3">
        <v>2009</v>
      </c>
      <c r="C54" s="24">
        <v>658.66666666666663</v>
      </c>
      <c r="D54" s="8">
        <f>24287+24222</f>
        <v>48509</v>
      </c>
      <c r="E54" s="9">
        <v>0</v>
      </c>
      <c r="F54" s="8">
        <f>-4912-1482-531-740-21</f>
        <v>-7686</v>
      </c>
      <c r="G54" s="8">
        <f>-1825-2277</f>
        <v>-4102</v>
      </c>
      <c r="H54" s="8">
        <f>-1180-39</f>
        <v>-1219</v>
      </c>
      <c r="I54" s="8">
        <v>-1830</v>
      </c>
      <c r="J54" s="8">
        <f t="shared" si="15"/>
        <v>33672</v>
      </c>
      <c r="K54" s="8">
        <f>-8055-609</f>
        <v>-8664</v>
      </c>
      <c r="L54" s="8">
        <f t="shared" si="1"/>
        <v>25008</v>
      </c>
      <c r="M54" s="8">
        <v>-1776</v>
      </c>
      <c r="N54" s="14">
        <v>-998</v>
      </c>
      <c r="O54" s="14">
        <f t="shared" si="2"/>
        <v>22234</v>
      </c>
      <c r="P54" s="14">
        <f t="shared" si="3"/>
        <v>-17742</v>
      </c>
      <c r="Q54" s="14">
        <v>4492</v>
      </c>
      <c r="R54" s="14">
        <v>9295</v>
      </c>
      <c r="S54" s="14">
        <f t="shared" si="4"/>
        <v>-1308</v>
      </c>
      <c r="T54" s="14">
        <v>12479</v>
      </c>
      <c r="U54" s="9">
        <f>8668+2170</f>
        <v>10838</v>
      </c>
      <c r="V54" s="13">
        <v>2832</v>
      </c>
      <c r="W54" s="18"/>
      <c r="Z54" s="18"/>
    </row>
    <row r="55" spans="1:32" x14ac:dyDescent="0.3">
      <c r="A55" s="20" t="s">
        <v>21</v>
      </c>
      <c r="B55" s="3">
        <v>2010</v>
      </c>
      <c r="C55" s="24">
        <v>617</v>
      </c>
      <c r="D55" s="8">
        <v>56215</v>
      </c>
      <c r="E55" s="11">
        <v>0</v>
      </c>
      <c r="F55" s="8">
        <f>-4790-1509-173-868-41</f>
        <v>-7381</v>
      </c>
      <c r="G55" s="8">
        <f>-2523-3509</f>
        <v>-6032</v>
      </c>
      <c r="H55" s="8">
        <f>-1162-59</f>
        <v>-1221</v>
      </c>
      <c r="I55" s="8">
        <v>-809</v>
      </c>
      <c r="J55" s="8">
        <f t="shared" si="15"/>
        <v>40772</v>
      </c>
      <c r="K55" s="8">
        <f>-7808-813</f>
        <v>-8621</v>
      </c>
      <c r="L55" s="8">
        <f t="shared" si="1"/>
        <v>32151</v>
      </c>
      <c r="M55" s="8">
        <v>-1658</v>
      </c>
      <c r="N55" s="14">
        <v>-1210</v>
      </c>
      <c r="O55" s="14">
        <f t="shared" si="2"/>
        <v>29283</v>
      </c>
      <c r="P55" s="14">
        <f t="shared" si="3"/>
        <v>-17866</v>
      </c>
      <c r="Q55" s="14">
        <v>11417</v>
      </c>
      <c r="R55" s="14">
        <v>8004</v>
      </c>
      <c r="S55" s="14">
        <f t="shared" si="4"/>
        <v>-5408</v>
      </c>
      <c r="T55" s="14">
        <v>14013</v>
      </c>
      <c r="U55" s="9">
        <f>8316+2638</f>
        <v>10954</v>
      </c>
      <c r="V55" s="13">
        <v>3175</v>
      </c>
      <c r="W55" s="18"/>
      <c r="Z55" s="18"/>
    </row>
    <row r="56" spans="1:32" x14ac:dyDescent="0.3">
      <c r="A56" s="20" t="s">
        <v>21</v>
      </c>
      <c r="B56" s="3">
        <v>2011</v>
      </c>
      <c r="C56" s="24">
        <v>546</v>
      </c>
      <c r="D56" s="8">
        <v>64196</v>
      </c>
      <c r="E56" s="11">
        <v>0</v>
      </c>
      <c r="F56" s="8">
        <f>-4833-1589-637-547+1</f>
        <v>-7605</v>
      </c>
      <c r="G56" s="8">
        <f>-3877-1636</f>
        <v>-5513</v>
      </c>
      <c r="H56" s="8">
        <f>-1079-39</f>
        <v>-1118</v>
      </c>
      <c r="I56" s="8">
        <v>-865</v>
      </c>
      <c r="J56" s="8">
        <f t="shared" si="15"/>
        <v>49095</v>
      </c>
      <c r="K56" s="8">
        <f>-6621-373</f>
        <v>-6994</v>
      </c>
      <c r="L56" s="8">
        <f t="shared" si="1"/>
        <v>42101</v>
      </c>
      <c r="M56" s="8">
        <v>-1442</v>
      </c>
      <c r="N56" s="14">
        <v>-9827</v>
      </c>
      <c r="O56" s="14">
        <f t="shared" si="2"/>
        <v>30832</v>
      </c>
      <c r="P56" s="14">
        <f t="shared" si="3"/>
        <v>-18330</v>
      </c>
      <c r="Q56" s="14">
        <v>12502</v>
      </c>
      <c r="R56" s="14">
        <v>6827</v>
      </c>
      <c r="S56" s="14">
        <f t="shared" si="4"/>
        <v>-5376</v>
      </c>
      <c r="T56" s="14">
        <v>13953</v>
      </c>
      <c r="U56" s="9">
        <f>11272+2081</f>
        <v>13353</v>
      </c>
      <c r="V56" s="13">
        <v>3632</v>
      </c>
      <c r="W56" s="18"/>
      <c r="Z56" s="18"/>
    </row>
    <row r="57" spans="1:32" x14ac:dyDescent="0.3">
      <c r="A57" s="20" t="s">
        <v>21</v>
      </c>
      <c r="B57" s="4">
        <v>2012</v>
      </c>
      <c r="C57" s="24">
        <f>531+73</f>
        <v>604</v>
      </c>
      <c r="D57" s="8">
        <v>57967</v>
      </c>
      <c r="E57" s="11">
        <v>0</v>
      </c>
      <c r="F57" s="10">
        <f>-5214-1532-701-745-28</f>
        <v>-8220</v>
      </c>
      <c r="G57" s="10">
        <f>-3429-1455</f>
        <v>-4884</v>
      </c>
      <c r="H57" s="10">
        <f>-1468-43</f>
        <v>-1511</v>
      </c>
      <c r="I57" s="10">
        <v>-1106</v>
      </c>
      <c r="J57" s="10">
        <f t="shared" si="15"/>
        <v>42246</v>
      </c>
      <c r="K57" s="10">
        <f>-6384-449</f>
        <v>-6833</v>
      </c>
      <c r="L57" s="8">
        <f t="shared" si="1"/>
        <v>35413</v>
      </c>
      <c r="M57" s="10">
        <v>-1324</v>
      </c>
      <c r="N57" s="14">
        <v>-8100</v>
      </c>
      <c r="O57" s="14">
        <f t="shared" si="2"/>
        <v>25989</v>
      </c>
      <c r="P57" s="14">
        <f t="shared" si="3"/>
        <v>-17491</v>
      </c>
      <c r="Q57" s="14">
        <v>8498</v>
      </c>
      <c r="R57" s="14">
        <v>6580</v>
      </c>
      <c r="S57" s="14">
        <f t="shared" si="4"/>
        <v>-1620</v>
      </c>
      <c r="T57" s="14">
        <v>13458</v>
      </c>
      <c r="U57" s="9">
        <f>15162+2660</f>
        <v>17822</v>
      </c>
      <c r="V57" s="13">
        <v>3278</v>
      </c>
      <c r="W57" s="18"/>
      <c r="Z57" s="18"/>
    </row>
    <row r="58" spans="1:32" x14ac:dyDescent="0.3">
      <c r="A58" s="20" t="s">
        <v>21</v>
      </c>
      <c r="B58" s="3">
        <v>2013</v>
      </c>
      <c r="C58" s="24">
        <f>519+74</f>
        <v>593</v>
      </c>
      <c r="D58" s="8">
        <v>54413</v>
      </c>
      <c r="E58" s="9">
        <v>0</v>
      </c>
      <c r="F58" s="8">
        <f>-742-6949-221-764-18</f>
        <v>-8694</v>
      </c>
      <c r="G58" s="8">
        <f>-1961-1240</f>
        <v>-3201</v>
      </c>
      <c r="H58" s="8">
        <f>-1216-60</f>
        <v>-1276</v>
      </c>
      <c r="I58" s="8">
        <v>-854</v>
      </c>
      <c r="J58" s="8">
        <f t="shared" si="15"/>
        <v>40388</v>
      </c>
      <c r="K58" s="8">
        <f>-7027-379</f>
        <v>-7406</v>
      </c>
      <c r="L58" s="8">
        <f t="shared" si="1"/>
        <v>32982</v>
      </c>
      <c r="M58" s="8">
        <v>-1279</v>
      </c>
      <c r="N58" s="15">
        <v>-4910</v>
      </c>
      <c r="O58" s="15">
        <f t="shared" si="2"/>
        <v>26793</v>
      </c>
      <c r="P58" s="15">
        <f t="shared" si="3"/>
        <v>-17578</v>
      </c>
      <c r="Q58" s="14">
        <v>9215</v>
      </c>
      <c r="R58" s="14">
        <v>7434</v>
      </c>
      <c r="S58" s="14">
        <f t="shared" si="4"/>
        <v>-793</v>
      </c>
      <c r="T58" s="14">
        <v>15856</v>
      </c>
      <c r="U58" s="11">
        <f>16900+3919</f>
        <v>20819</v>
      </c>
      <c r="V58" s="13">
        <v>3334</v>
      </c>
      <c r="W58" s="18"/>
      <c r="Y58">
        <f>-X58</f>
        <v>0</v>
      </c>
      <c r="Z58" s="18"/>
    </row>
    <row r="59" spans="1:32" x14ac:dyDescent="0.3">
      <c r="A59" s="20" t="s">
        <v>21</v>
      </c>
      <c r="B59" s="3">
        <v>2014</v>
      </c>
      <c r="C59" s="24">
        <v>517.5</v>
      </c>
      <c r="D59" s="8">
        <v>52524</v>
      </c>
      <c r="E59" s="9">
        <v>0</v>
      </c>
      <c r="F59" s="8">
        <f>-702-7409+135-890+39</f>
        <v>-8827</v>
      </c>
      <c r="G59" s="8">
        <f>-1961-1279</f>
        <v>-3240</v>
      </c>
      <c r="H59" s="8">
        <f>-2023-28</f>
        <v>-2051</v>
      </c>
      <c r="I59" s="8">
        <v>-735</v>
      </c>
      <c r="J59" s="8">
        <f t="shared" si="15"/>
        <v>37671</v>
      </c>
      <c r="K59" s="8">
        <f>-7912-515</f>
        <v>-8427</v>
      </c>
      <c r="L59" s="8">
        <f t="shared" si="1"/>
        <v>29244</v>
      </c>
      <c r="M59" s="8">
        <v>-1136</v>
      </c>
      <c r="N59" s="15">
        <v>-4203</v>
      </c>
      <c r="O59" s="15">
        <f t="shared" si="2"/>
        <v>23905</v>
      </c>
      <c r="P59" s="15">
        <f t="shared" si="3"/>
        <v>-16967</v>
      </c>
      <c r="Q59" s="15">
        <v>6938</v>
      </c>
      <c r="R59" s="15">
        <v>8329</v>
      </c>
      <c r="S59" s="15">
        <f t="shared" si="4"/>
        <v>1145</v>
      </c>
      <c r="T59" s="15">
        <v>16412</v>
      </c>
      <c r="U59" s="11">
        <f>16529+3779</f>
        <v>20308</v>
      </c>
      <c r="V59" s="13">
        <v>3525</v>
      </c>
      <c r="W59" s="18"/>
      <c r="Y59">
        <f t="shared" ref="Y59:Y64" si="16">-X59</f>
        <v>0</v>
      </c>
      <c r="Z59" s="18"/>
    </row>
    <row r="60" spans="1:32" x14ac:dyDescent="0.3">
      <c r="A60" s="19" t="s">
        <v>21</v>
      </c>
      <c r="B60" s="3">
        <v>2015</v>
      </c>
      <c r="C60" s="23">
        <v>610.83333333333326</v>
      </c>
      <c r="D60" s="8">
        <v>29564</v>
      </c>
      <c r="E60" s="11">
        <v>0</v>
      </c>
      <c r="F60" s="8">
        <f>-6580-639-60-735-8</f>
        <v>-8022</v>
      </c>
      <c r="G60" s="8">
        <f>-773-751</f>
        <v>-1524</v>
      </c>
      <c r="H60" s="8">
        <f>-4193-202</f>
        <v>-4395</v>
      </c>
      <c r="I60" s="8">
        <v>-953</v>
      </c>
      <c r="J60" s="8">
        <f t="shared" si="15"/>
        <v>14670</v>
      </c>
      <c r="K60" s="8">
        <f>-8651-569</f>
        <v>-9220</v>
      </c>
      <c r="L60" s="8">
        <f t="shared" si="1"/>
        <v>5450</v>
      </c>
      <c r="M60" s="8">
        <v>-1214</v>
      </c>
      <c r="N60" s="15">
        <v>-523</v>
      </c>
      <c r="O60" s="15">
        <f t="shared" si="2"/>
        <v>3713</v>
      </c>
      <c r="P60" s="15">
        <f t="shared" si="3"/>
        <v>-8084</v>
      </c>
      <c r="Q60" s="15">
        <v>-4371</v>
      </c>
      <c r="R60" s="15">
        <v>9113</v>
      </c>
      <c r="S60" s="15">
        <f t="shared" si="4"/>
        <v>2830</v>
      </c>
      <c r="T60" s="15">
        <v>7572</v>
      </c>
      <c r="U60" s="11">
        <f>9898+1582</f>
        <v>11480</v>
      </c>
      <c r="V60" s="13">
        <v>3664</v>
      </c>
      <c r="W60" s="18"/>
      <c r="Y60">
        <f t="shared" si="16"/>
        <v>0</v>
      </c>
      <c r="Z60" s="18"/>
    </row>
    <row r="61" spans="1:32" x14ac:dyDescent="0.3">
      <c r="A61" s="21" t="s">
        <v>21</v>
      </c>
      <c r="B61" s="94">
        <v>2016</v>
      </c>
      <c r="C61" s="95">
        <f>480+118</f>
        <v>598</v>
      </c>
      <c r="D61" s="96">
        <v>23693</v>
      </c>
      <c r="E61" s="97">
        <v>0</v>
      </c>
      <c r="F61" s="96">
        <f>-5269-716-11-687-25</f>
        <v>-6708</v>
      </c>
      <c r="G61" s="96">
        <f>-656-491</f>
        <v>-1147</v>
      </c>
      <c r="H61" s="96">
        <f>-1911-6</f>
        <v>-1917</v>
      </c>
      <c r="I61" s="96">
        <v>-723</v>
      </c>
      <c r="J61" s="96">
        <f t="shared" si="15"/>
        <v>13198</v>
      </c>
      <c r="K61" s="96">
        <f>-8580-857</f>
        <v>-9437</v>
      </c>
      <c r="L61" s="96">
        <f t="shared" si="1"/>
        <v>3761</v>
      </c>
      <c r="M61" s="96">
        <v>-1402</v>
      </c>
      <c r="N61" s="98">
        <v>318</v>
      </c>
      <c r="O61" s="98">
        <f t="shared" si="2"/>
        <v>2677</v>
      </c>
      <c r="P61" s="98">
        <f t="shared" si="3"/>
        <v>-6236</v>
      </c>
      <c r="Q61" s="98">
        <v>-3559</v>
      </c>
      <c r="R61" s="98">
        <v>9062</v>
      </c>
      <c r="S61" s="98">
        <f t="shared" si="4"/>
        <v>-1100</v>
      </c>
      <c r="T61" s="98">
        <v>4403</v>
      </c>
      <c r="U61" s="97">
        <f>3827+715</f>
        <v>4542</v>
      </c>
      <c r="V61" s="13">
        <v>1253</v>
      </c>
      <c r="W61" s="18"/>
      <c r="Y61">
        <f t="shared" si="16"/>
        <v>0</v>
      </c>
      <c r="Z61" s="18"/>
    </row>
    <row r="62" spans="1:32" x14ac:dyDescent="0.3">
      <c r="A62" s="20" t="s">
        <v>106</v>
      </c>
      <c r="B62" s="3">
        <v>2007</v>
      </c>
      <c r="C62" s="24"/>
      <c r="D62" s="8"/>
      <c r="E62" s="11"/>
      <c r="F62" s="8"/>
      <c r="G62" s="8"/>
      <c r="H62" s="8"/>
      <c r="I62" s="8"/>
      <c r="J62" s="8">
        <f t="shared" si="15"/>
        <v>0</v>
      </c>
      <c r="K62" s="8"/>
      <c r="L62" s="8">
        <f t="shared" si="1"/>
        <v>0</v>
      </c>
      <c r="M62" s="8"/>
      <c r="N62" s="15"/>
      <c r="O62" s="8">
        <f t="shared" si="2"/>
        <v>0</v>
      </c>
      <c r="P62" s="8">
        <f t="shared" si="3"/>
        <v>0</v>
      </c>
      <c r="Q62" s="15"/>
      <c r="R62" s="15"/>
      <c r="S62" s="8">
        <f t="shared" si="4"/>
        <v>0</v>
      </c>
      <c r="T62" s="15"/>
      <c r="U62" s="11"/>
      <c r="V62" s="13">
        <v>0</v>
      </c>
      <c r="W62" s="18"/>
      <c r="Y62">
        <f t="shared" si="16"/>
        <v>0</v>
      </c>
      <c r="Z62" s="18"/>
    </row>
    <row r="63" spans="1:32" x14ac:dyDescent="0.3">
      <c r="A63" s="20" t="s">
        <v>106</v>
      </c>
      <c r="B63" s="3">
        <v>2008</v>
      </c>
      <c r="C63" s="24"/>
      <c r="D63" s="8"/>
      <c r="E63" s="11"/>
      <c r="F63" s="8"/>
      <c r="G63" s="8"/>
      <c r="H63" s="8"/>
      <c r="I63" s="8"/>
      <c r="J63" s="8">
        <f t="shared" si="15"/>
        <v>0</v>
      </c>
      <c r="K63" s="8"/>
      <c r="L63" s="8">
        <f t="shared" si="1"/>
        <v>0</v>
      </c>
      <c r="M63" s="8"/>
      <c r="N63" s="15"/>
      <c r="O63" s="8">
        <f t="shared" si="2"/>
        <v>0</v>
      </c>
      <c r="P63" s="8">
        <f t="shared" si="3"/>
        <v>0</v>
      </c>
      <c r="Q63" s="15"/>
      <c r="R63" s="15"/>
      <c r="S63" s="8">
        <f t="shared" si="4"/>
        <v>0</v>
      </c>
      <c r="T63" s="15"/>
      <c r="U63" s="11"/>
      <c r="V63" s="13">
        <v>0</v>
      </c>
      <c r="W63" s="18"/>
      <c r="Y63">
        <f t="shared" si="16"/>
        <v>0</v>
      </c>
      <c r="Z63" s="18"/>
    </row>
    <row r="64" spans="1:32" x14ac:dyDescent="0.3">
      <c r="A64" s="20" t="s">
        <v>106</v>
      </c>
      <c r="B64" s="3">
        <v>2009</v>
      </c>
      <c r="C64" s="24">
        <v>13.623000000000001</v>
      </c>
      <c r="D64" s="8">
        <v>610.69799999999998</v>
      </c>
      <c r="E64" s="11">
        <v>17.033000000000001</v>
      </c>
      <c r="F64" s="8">
        <v>-76.718999999999994</v>
      </c>
      <c r="G64" s="8">
        <v>-45.645000000000003</v>
      </c>
      <c r="H64" s="8">
        <v>-12.615</v>
      </c>
      <c r="I64" s="8">
        <v>-41.094000000000001</v>
      </c>
      <c r="J64" s="8">
        <f t="shared" si="15"/>
        <v>451.65799999999996</v>
      </c>
      <c r="K64" s="8">
        <v>-204.489</v>
      </c>
      <c r="L64" s="8">
        <f t="shared" si="1"/>
        <v>247.16899999999995</v>
      </c>
      <c r="M64" s="8">
        <f>-'Other info'!AY40</f>
        <v>-20.544609999999999</v>
      </c>
      <c r="N64" s="15">
        <v>-0.14599999999999999</v>
      </c>
      <c r="O64" s="14">
        <f t="shared" si="2"/>
        <v>226.47838999999996</v>
      </c>
      <c r="P64" s="14">
        <f t="shared" si="3"/>
        <v>-155.14038999999997</v>
      </c>
      <c r="Q64" s="15">
        <v>71.337999999999994</v>
      </c>
      <c r="R64" s="15">
        <v>207.602</v>
      </c>
      <c r="S64" s="14">
        <f t="shared" si="4"/>
        <v>94.045999999999992</v>
      </c>
      <c r="T64" s="15">
        <v>372.98599999999999</v>
      </c>
      <c r="U64" s="11">
        <v>432.03699999999998</v>
      </c>
      <c r="V64" s="13">
        <v>0</v>
      </c>
      <c r="W64" s="18"/>
      <c r="Y64">
        <f t="shared" si="16"/>
        <v>0</v>
      </c>
      <c r="Z64" s="18"/>
    </row>
    <row r="65" spans="1:27" x14ac:dyDescent="0.3">
      <c r="A65" s="20" t="s">
        <v>106</v>
      </c>
      <c r="B65" s="3">
        <v>2010</v>
      </c>
      <c r="C65" s="24">
        <v>15.810500000000001</v>
      </c>
      <c r="D65" s="8">
        <v>948.524</v>
      </c>
      <c r="E65" s="11">
        <v>21.303000000000001</v>
      </c>
      <c r="F65" s="8">
        <v>-86.557000000000002</v>
      </c>
      <c r="G65" s="8">
        <v>-76.659000000000006</v>
      </c>
      <c r="H65" s="8">
        <v>-12.763</v>
      </c>
      <c r="I65" s="8">
        <v>-49.09</v>
      </c>
      <c r="J65" s="8">
        <f t="shared" si="15"/>
        <v>744.75799999999992</v>
      </c>
      <c r="K65" s="8">
        <v>-239.74799999999999</v>
      </c>
      <c r="L65" s="8">
        <f t="shared" si="1"/>
        <v>505.00999999999993</v>
      </c>
      <c r="M65" s="8">
        <f>-'Other info'!AT40</f>
        <v>-48.314012187500005</v>
      </c>
      <c r="N65" s="15">
        <v>-10.879</v>
      </c>
      <c r="O65" s="14">
        <f t="shared" si="2"/>
        <v>445.81698781249992</v>
      </c>
      <c r="P65" s="14">
        <f t="shared" si="3"/>
        <v>-277.56198781249992</v>
      </c>
      <c r="Q65" s="15">
        <v>168.255</v>
      </c>
      <c r="R65" s="15">
        <v>243.601</v>
      </c>
      <c r="S65" s="14">
        <f t="shared" si="4"/>
        <v>241.31100000000004</v>
      </c>
      <c r="T65" s="15">
        <v>653.16700000000003</v>
      </c>
      <c r="U65" s="11">
        <v>1196.828</v>
      </c>
      <c r="V65" s="13">
        <v>0</v>
      </c>
      <c r="W65" s="18"/>
      <c r="Z65" s="18"/>
    </row>
    <row r="66" spans="1:27" x14ac:dyDescent="0.3">
      <c r="A66" s="20" t="s">
        <v>106</v>
      </c>
      <c r="B66" s="3">
        <v>2011</v>
      </c>
      <c r="C66" s="24">
        <v>22.580833333333334</v>
      </c>
      <c r="D66" s="8">
        <v>1647.4190000000001</v>
      </c>
      <c r="E66" s="11">
        <v>32.418999999999997</v>
      </c>
      <c r="F66" s="8">
        <v>-135.178</v>
      </c>
      <c r="G66" s="8">
        <v>-143.23599999999999</v>
      </c>
      <c r="H66" s="8">
        <v>-27.92</v>
      </c>
      <c r="I66" s="8">
        <v>-72.816999999999993</v>
      </c>
      <c r="J66" s="8">
        <f t="shared" si="15"/>
        <v>1300.6870000000004</v>
      </c>
      <c r="K66" s="8">
        <v>-384.30099999999999</v>
      </c>
      <c r="L66" s="8">
        <f t="shared" si="1"/>
        <v>916.38600000000042</v>
      </c>
      <c r="M66" s="8">
        <f>-'Other info'!AO40</f>
        <v>-69.38866625</v>
      </c>
      <c r="N66" s="15">
        <v>-16.03</v>
      </c>
      <c r="O66" s="14">
        <f t="shared" si="2"/>
        <v>830.96733375000042</v>
      </c>
      <c r="P66" s="14">
        <f t="shared" si="3"/>
        <v>-401.89533375000042</v>
      </c>
      <c r="Q66" s="15">
        <v>429.072</v>
      </c>
      <c r="R66" s="15">
        <v>390.899</v>
      </c>
      <c r="S66" s="14">
        <f t="shared" si="4"/>
        <v>247.94399999999996</v>
      </c>
      <c r="T66" s="15">
        <v>1067.915</v>
      </c>
      <c r="U66" s="11">
        <v>2156.0949999999998</v>
      </c>
      <c r="V66" s="13">
        <v>0</v>
      </c>
      <c r="W66" s="18"/>
      <c r="X66" s="18"/>
      <c r="Z66" s="18"/>
    </row>
    <row r="67" spans="1:27" x14ac:dyDescent="0.3">
      <c r="A67" s="20" t="s">
        <v>106</v>
      </c>
      <c r="B67" s="4">
        <v>2012</v>
      </c>
      <c r="C67" s="24">
        <v>35.715833333333336</v>
      </c>
      <c r="D67" s="8">
        <v>2379.433</v>
      </c>
      <c r="E67" s="11">
        <v>39.070999999999998</v>
      </c>
      <c r="F67" s="8">
        <v>-193.46600000000001</v>
      </c>
      <c r="G67" s="8">
        <v>-223.73699999999999</v>
      </c>
      <c r="H67" s="8">
        <v>-23.507000000000001</v>
      </c>
      <c r="I67" s="8">
        <v>-121.735</v>
      </c>
      <c r="J67" s="10">
        <f t="shared" si="15"/>
        <v>1856.059</v>
      </c>
      <c r="K67" s="8">
        <v>-683.20699999999999</v>
      </c>
      <c r="L67" s="8">
        <f t="shared" si="1"/>
        <v>1172.8519999999999</v>
      </c>
      <c r="M67" s="8">
        <f>-'Other info'!AJ40</f>
        <v>-177.1678919</v>
      </c>
      <c r="N67" s="15">
        <v>-0.82899999999999996</v>
      </c>
      <c r="O67" s="14">
        <f t="shared" si="2"/>
        <v>994.85510809999994</v>
      </c>
      <c r="P67" s="14">
        <f t="shared" si="3"/>
        <v>-255.47010809999995</v>
      </c>
      <c r="Q67" s="15">
        <v>739.38499999999999</v>
      </c>
      <c r="R67" s="15">
        <v>692.11800000000005</v>
      </c>
      <c r="S67" s="14">
        <f t="shared" si="4"/>
        <v>200.5619999999999</v>
      </c>
      <c r="T67" s="15">
        <v>1632.0650000000001</v>
      </c>
      <c r="U67" s="11">
        <v>4313.0569999999998</v>
      </c>
      <c r="V67" s="13">
        <v>0</v>
      </c>
      <c r="W67" s="18"/>
      <c r="X67" s="18"/>
      <c r="Z67" s="18"/>
    </row>
    <row r="68" spans="1:27" x14ac:dyDescent="0.3">
      <c r="A68" s="20" t="s">
        <v>106</v>
      </c>
      <c r="B68" s="3">
        <v>2013</v>
      </c>
      <c r="C68" s="24">
        <v>49.610666666666667</v>
      </c>
      <c r="D68" s="8">
        <v>3606.7739999999999</v>
      </c>
      <c r="E68" s="11">
        <v>40.127000000000002</v>
      </c>
      <c r="F68" s="8">
        <v>-280.78899999999999</v>
      </c>
      <c r="G68" s="8">
        <v>-298.78699999999998</v>
      </c>
      <c r="H68" s="8">
        <v>-34.947000000000003</v>
      </c>
      <c r="I68" s="8">
        <v>-144.37899999999999</v>
      </c>
      <c r="J68" s="8">
        <f t="shared" si="15"/>
        <v>2887.9990000000003</v>
      </c>
      <c r="K68" s="8">
        <v>-953.79600000000005</v>
      </c>
      <c r="L68" s="8">
        <f t="shared" si="1"/>
        <v>1934.2030000000002</v>
      </c>
      <c r="M68" s="8">
        <f>-'Other info'!AE40</f>
        <v>-242.74997675</v>
      </c>
      <c r="N68" s="15">
        <v>-29.016999999999999</v>
      </c>
      <c r="O68" s="15">
        <f t="shared" si="2"/>
        <v>1662.4360232500001</v>
      </c>
      <c r="P68" s="15">
        <f t="shared" si="3"/>
        <v>-898.21702325000001</v>
      </c>
      <c r="Q68" s="15">
        <v>764.21900000000005</v>
      </c>
      <c r="R68" s="15">
        <v>965.64499999999998</v>
      </c>
      <c r="S68" s="14">
        <f t="shared" si="4"/>
        <v>833.43100000000004</v>
      </c>
      <c r="T68" s="15">
        <v>2563.2950000000001</v>
      </c>
      <c r="U68" s="11">
        <v>3792.6550000000002</v>
      </c>
      <c r="V68" s="13">
        <v>0</v>
      </c>
      <c r="W68" s="18"/>
      <c r="X68" s="18"/>
      <c r="Z68" s="18"/>
    </row>
    <row r="69" spans="1:27" x14ac:dyDescent="0.3">
      <c r="A69" s="20" t="s">
        <v>106</v>
      </c>
      <c r="B69" s="3">
        <v>2014</v>
      </c>
      <c r="C69" s="24">
        <v>63.579166666666666</v>
      </c>
      <c r="D69" s="8">
        <v>4203.0219999999999</v>
      </c>
      <c r="E69" s="11">
        <v>38.837000000000003</v>
      </c>
      <c r="F69" s="8">
        <v>-347.34899999999999</v>
      </c>
      <c r="G69" s="8">
        <v>-349.76</v>
      </c>
      <c r="H69" s="8">
        <v>-50.067</v>
      </c>
      <c r="I69" s="8">
        <v>-184.655</v>
      </c>
      <c r="J69" s="8">
        <f t="shared" si="15"/>
        <v>3310.0279999999998</v>
      </c>
      <c r="K69" s="8">
        <v>-1338.3510000000001</v>
      </c>
      <c r="L69" s="8">
        <f t="shared" si="1"/>
        <v>1971.6769999999997</v>
      </c>
      <c r="M69" s="8">
        <f>-'Other info'!Z43</f>
        <v>-262.65889241666667</v>
      </c>
      <c r="N69" s="15">
        <v>-53.457000000000001</v>
      </c>
      <c r="O69" s="15">
        <f t="shared" si="2"/>
        <v>1655.5611075833328</v>
      </c>
      <c r="P69" s="15">
        <f t="shared" si="3"/>
        <v>-678.22010758333283</v>
      </c>
      <c r="Q69" s="15">
        <v>977.34100000000001</v>
      </c>
      <c r="R69" s="15">
        <v>1358.6690000000001</v>
      </c>
      <c r="S69" s="15">
        <f t="shared" si="4"/>
        <v>1019.7049999999999</v>
      </c>
      <c r="T69" s="15">
        <v>3355.7150000000001</v>
      </c>
      <c r="U69" s="11">
        <v>4972.2</v>
      </c>
      <c r="V69" s="13">
        <v>0</v>
      </c>
      <c r="W69" s="18"/>
      <c r="X69" s="18"/>
      <c r="Z69" s="18"/>
    </row>
    <row r="70" spans="1:27" x14ac:dyDescent="0.3">
      <c r="A70" s="19" t="s">
        <v>106</v>
      </c>
      <c r="B70" s="3">
        <v>2015</v>
      </c>
      <c r="C70" s="23">
        <v>80.926000000000002</v>
      </c>
      <c r="D70" s="8">
        <v>2552.5309999999999</v>
      </c>
      <c r="E70" s="11">
        <v>36.551000000000002</v>
      </c>
      <c r="F70" s="8">
        <v>-347.24299999999999</v>
      </c>
      <c r="G70" s="8">
        <v>-200.637</v>
      </c>
      <c r="H70" s="8">
        <v>-19.413</v>
      </c>
      <c r="I70" s="8">
        <v>-189.846</v>
      </c>
      <c r="J70" s="8">
        <f t="shared" si="15"/>
        <v>1831.943</v>
      </c>
      <c r="K70" s="8">
        <v>-1722.336</v>
      </c>
      <c r="L70" s="8">
        <f t="shared" si="1"/>
        <v>109.60699999999997</v>
      </c>
      <c r="M70" s="8">
        <f>-'Other info'!U43</f>
        <v>-292.31302234999998</v>
      </c>
      <c r="N70" s="15">
        <v>-0.03</v>
      </c>
      <c r="O70" s="15">
        <f t="shared" si="2"/>
        <v>-182.73602235000001</v>
      </c>
      <c r="P70" s="15">
        <f t="shared" si="3"/>
        <v>-170.93197764999999</v>
      </c>
      <c r="Q70" s="15">
        <v>-353.66800000000001</v>
      </c>
      <c r="R70" s="15">
        <v>1749.056</v>
      </c>
      <c r="S70" s="15">
        <f t="shared" si="4"/>
        <v>461.71300000000019</v>
      </c>
      <c r="T70" s="15">
        <v>1857.1010000000001</v>
      </c>
      <c r="U70" s="11">
        <v>2536.3020000000001</v>
      </c>
      <c r="V70" s="13">
        <v>0</v>
      </c>
      <c r="W70" s="18"/>
      <c r="X70" s="18"/>
      <c r="Z70" s="18"/>
    </row>
    <row r="71" spans="1:27" x14ac:dyDescent="0.3">
      <c r="A71" s="21" t="s">
        <v>106</v>
      </c>
      <c r="B71" s="94">
        <v>2016</v>
      </c>
      <c r="C71" s="95">
        <v>79.39</v>
      </c>
      <c r="D71" s="96">
        <v>2026.9580000000001</v>
      </c>
      <c r="E71" s="97">
        <v>25.173999999999999</v>
      </c>
      <c r="F71" s="96">
        <v>-289.28899999999999</v>
      </c>
      <c r="G71" s="96">
        <v>-142.38800000000001</v>
      </c>
      <c r="H71" s="96">
        <v>-16.972000000000001</v>
      </c>
      <c r="I71" s="96">
        <v>-169.58</v>
      </c>
      <c r="J71" s="96">
        <f t="shared" si="15"/>
        <v>1433.9030000000002</v>
      </c>
      <c r="K71" s="96">
        <v>-1679.4849999999999</v>
      </c>
      <c r="L71" s="96">
        <f t="shared" si="1"/>
        <v>-245.58199999999965</v>
      </c>
      <c r="M71" s="96">
        <f>-'Other info'!P43</f>
        <v>-310.23352602083332</v>
      </c>
      <c r="N71" s="98">
        <v>-2E-3</v>
      </c>
      <c r="O71" s="98">
        <f t="shared" si="2"/>
        <v>-555.81752602083293</v>
      </c>
      <c r="P71" s="98">
        <f t="shared" si="3"/>
        <v>156.13852602083296</v>
      </c>
      <c r="Q71" s="98">
        <v>-399.67899999999997</v>
      </c>
      <c r="R71" s="98">
        <v>1708.7439999999999</v>
      </c>
      <c r="S71" s="98">
        <f t="shared" si="4"/>
        <v>-183.14599999999996</v>
      </c>
      <c r="T71" s="98">
        <v>1125.9190000000001</v>
      </c>
      <c r="U71" s="97">
        <f>1104.473+9.6</f>
        <v>1114.0729999999999</v>
      </c>
      <c r="V71" s="13">
        <v>0</v>
      </c>
      <c r="W71" s="18"/>
      <c r="X71" s="105" t="s">
        <v>0</v>
      </c>
      <c r="Y71" s="104" t="s">
        <v>117</v>
      </c>
      <c r="Z71" s="18"/>
    </row>
    <row r="72" spans="1:27" x14ac:dyDescent="0.3">
      <c r="A72" s="19" t="s">
        <v>16</v>
      </c>
      <c r="B72" s="3">
        <v>2007</v>
      </c>
      <c r="C72" s="23">
        <v>204.66666666666666</v>
      </c>
      <c r="D72" s="8"/>
      <c r="E72" s="9"/>
      <c r="F72" s="8">
        <v>0</v>
      </c>
      <c r="G72" s="8">
        <v>0</v>
      </c>
      <c r="H72" s="8">
        <v>0</v>
      </c>
      <c r="I72" s="8">
        <v>0</v>
      </c>
      <c r="J72" s="8">
        <f t="shared" si="15"/>
        <v>0</v>
      </c>
      <c r="K72" s="8"/>
      <c r="L72" s="8">
        <f t="shared" si="1"/>
        <v>0</v>
      </c>
      <c r="M72" s="8">
        <v>0</v>
      </c>
      <c r="N72" s="8">
        <v>0</v>
      </c>
      <c r="O72" s="8">
        <f t="shared" si="2"/>
        <v>0</v>
      </c>
      <c r="P72" s="8">
        <f t="shared" si="3"/>
        <v>0</v>
      </c>
      <c r="Q72" s="8"/>
      <c r="R72" s="8">
        <v>0</v>
      </c>
      <c r="S72" s="8">
        <f t="shared" si="4"/>
        <v>0</v>
      </c>
      <c r="T72" s="8"/>
      <c r="U72" s="9"/>
      <c r="V72" s="13"/>
      <c r="W72" s="18"/>
      <c r="Z72" s="18"/>
    </row>
    <row r="73" spans="1:27" x14ac:dyDescent="0.3">
      <c r="A73" s="19" t="s">
        <v>16</v>
      </c>
      <c r="B73" s="3">
        <v>2008</v>
      </c>
      <c r="C73" s="23">
        <v>223.33333333333334</v>
      </c>
      <c r="D73" s="8"/>
      <c r="E73" s="11"/>
      <c r="F73" s="8">
        <v>0</v>
      </c>
      <c r="G73" s="8">
        <v>0</v>
      </c>
      <c r="H73" s="8">
        <v>0</v>
      </c>
      <c r="I73" s="8">
        <v>0</v>
      </c>
      <c r="J73" s="8">
        <f t="shared" si="15"/>
        <v>0</v>
      </c>
      <c r="K73" s="8"/>
      <c r="L73" s="8">
        <f t="shared" si="1"/>
        <v>0</v>
      </c>
      <c r="M73" s="8">
        <v>0</v>
      </c>
      <c r="N73" s="8">
        <v>0</v>
      </c>
      <c r="O73" s="8">
        <f t="shared" si="2"/>
        <v>0</v>
      </c>
      <c r="P73" s="8">
        <f t="shared" si="3"/>
        <v>0</v>
      </c>
      <c r="Q73" s="8"/>
      <c r="R73" s="8">
        <v>0</v>
      </c>
      <c r="S73" s="8">
        <f t="shared" si="4"/>
        <v>0</v>
      </c>
      <c r="T73" s="8"/>
      <c r="U73" s="9"/>
      <c r="V73" s="13">
        <v>289</v>
      </c>
      <c r="W73" s="18"/>
      <c r="X73" s="105" t="s">
        <v>75</v>
      </c>
      <c r="Y73" s="104" t="s">
        <v>85</v>
      </c>
      <c r="Z73" s="104" t="s">
        <v>113</v>
      </c>
    </row>
    <row r="74" spans="1:27" x14ac:dyDescent="0.3">
      <c r="A74" s="19" t="s">
        <v>16</v>
      </c>
      <c r="B74" s="3">
        <v>2009</v>
      </c>
      <c r="C74" s="23">
        <v>232.99999999999997</v>
      </c>
      <c r="D74" s="8">
        <v>6097</v>
      </c>
      <c r="E74" s="11">
        <v>1534</v>
      </c>
      <c r="F74" s="8">
        <v>-1670</v>
      </c>
      <c r="G74" s="8">
        <v>-314</v>
      </c>
      <c r="H74" s="8">
        <v>0</v>
      </c>
      <c r="I74" s="8">
        <v>-1670</v>
      </c>
      <c r="J74" s="8">
        <f t="shared" si="15"/>
        <v>3977</v>
      </c>
      <c r="K74" s="8">
        <v>-1832</v>
      </c>
      <c r="L74" s="8">
        <f t="shared" si="1"/>
        <v>2145</v>
      </c>
      <c r="M74" s="8">
        <v>-437</v>
      </c>
      <c r="N74" s="14">
        <v>-68</v>
      </c>
      <c r="O74" s="14">
        <f t="shared" si="2"/>
        <v>1640</v>
      </c>
      <c r="P74" s="14">
        <f t="shared" si="3"/>
        <v>-4119</v>
      </c>
      <c r="Q74" s="14">
        <v>-2479</v>
      </c>
      <c r="R74" s="14">
        <v>2108</v>
      </c>
      <c r="S74" s="14">
        <f t="shared" si="4"/>
        <v>5108</v>
      </c>
      <c r="T74" s="14">
        <f>4737</f>
        <v>4737</v>
      </c>
      <c r="U74" s="9">
        <v>4087</v>
      </c>
      <c r="V74" s="13">
        <v>284</v>
      </c>
      <c r="W74" s="18"/>
      <c r="X74" s="106">
        <v>2009</v>
      </c>
      <c r="Y74" s="111">
        <v>5971.6097099999997</v>
      </c>
      <c r="Z74" s="111">
        <v>52622.704999999994</v>
      </c>
      <c r="AA74" s="87">
        <f>+Y74/Z74</f>
        <v>0.1134797177378092</v>
      </c>
    </row>
    <row r="75" spans="1:27" x14ac:dyDescent="0.3">
      <c r="A75" s="19" t="s">
        <v>16</v>
      </c>
      <c r="B75" s="3">
        <v>2010</v>
      </c>
      <c r="C75" s="23">
        <v>227.99999999999997</v>
      </c>
      <c r="D75" s="8">
        <v>7262</v>
      </c>
      <c r="E75" s="11">
        <v>1867</v>
      </c>
      <c r="F75" s="8">
        <v>-1689</v>
      </c>
      <c r="G75" s="8">
        <v>-380</v>
      </c>
      <c r="H75" s="8">
        <v>0</v>
      </c>
      <c r="I75" s="8">
        <v>-1689</v>
      </c>
      <c r="J75" s="8">
        <f t="shared" si="15"/>
        <v>5371</v>
      </c>
      <c r="K75" s="8">
        <v>-1675</v>
      </c>
      <c r="L75" s="8">
        <f t="shared" si="1"/>
        <v>3696</v>
      </c>
      <c r="M75" s="8">
        <v>-408</v>
      </c>
      <c r="N75" s="14">
        <v>-955</v>
      </c>
      <c r="O75" s="14">
        <f t="shared" si="2"/>
        <v>2333</v>
      </c>
      <c r="P75" s="14">
        <f t="shared" si="3"/>
        <v>2217</v>
      </c>
      <c r="Q75" s="14">
        <v>4550</v>
      </c>
      <c r="R75" s="14">
        <v>1930</v>
      </c>
      <c r="S75" s="14">
        <f t="shared" si="4"/>
        <v>-1002</v>
      </c>
      <c r="T75" s="14">
        <f>5478</f>
        <v>5478</v>
      </c>
      <c r="U75" s="9">
        <v>6544</v>
      </c>
      <c r="V75" s="13">
        <v>281</v>
      </c>
      <c r="W75" s="18"/>
      <c r="X75" s="106">
        <v>2010</v>
      </c>
      <c r="Y75" s="111">
        <v>6169.1056121874999</v>
      </c>
      <c r="Z75" s="111">
        <v>73616.716</v>
      </c>
      <c r="AA75" s="87">
        <f t="shared" ref="AA75:AA80" si="17">+Y75/Z75</f>
        <v>8.3800337034696026E-2</v>
      </c>
    </row>
    <row r="76" spans="1:27" x14ac:dyDescent="0.3">
      <c r="A76" s="19" t="s">
        <v>16</v>
      </c>
      <c r="B76" s="3">
        <v>2011</v>
      </c>
      <c r="C76" s="23">
        <v>240.83333333333331</v>
      </c>
      <c r="D76" s="8">
        <v>8315</v>
      </c>
      <c r="E76" s="9">
        <v>2249</v>
      </c>
      <c r="F76" s="8">
        <v>-1851</v>
      </c>
      <c r="G76" s="8">
        <v>-424</v>
      </c>
      <c r="H76" s="8">
        <v>0</v>
      </c>
      <c r="I76" s="8">
        <v>-1851</v>
      </c>
      <c r="J76" s="8">
        <f t="shared" si="15"/>
        <v>6438</v>
      </c>
      <c r="K76" s="8">
        <v>-1987</v>
      </c>
      <c r="L76" s="8">
        <f t="shared" si="1"/>
        <v>4451</v>
      </c>
      <c r="M76" s="8">
        <v>-414</v>
      </c>
      <c r="N76" s="14">
        <v>383</v>
      </c>
      <c r="O76" s="14">
        <f t="shared" si="2"/>
        <v>4420</v>
      </c>
      <c r="P76" s="14">
        <f t="shared" si="3"/>
        <v>284</v>
      </c>
      <c r="Q76" s="14">
        <v>4704</v>
      </c>
      <c r="R76" s="14">
        <v>2248</v>
      </c>
      <c r="S76" s="14">
        <f t="shared" si="4"/>
        <v>-728</v>
      </c>
      <c r="T76" s="14">
        <f>6224</f>
        <v>6224</v>
      </c>
      <c r="U76" s="9">
        <v>6943</v>
      </c>
      <c r="V76" s="13">
        <v>278</v>
      </c>
      <c r="W76" s="18"/>
      <c r="X76" s="106">
        <v>2011</v>
      </c>
      <c r="Y76" s="111">
        <v>6239.3132662500002</v>
      </c>
      <c r="Z76" s="111">
        <v>84674.882400000002</v>
      </c>
      <c r="AA76" s="87">
        <f t="shared" si="17"/>
        <v>7.3685526208064747E-2</v>
      </c>
    </row>
    <row r="77" spans="1:27" x14ac:dyDescent="0.3">
      <c r="A77" s="20" t="s">
        <v>16</v>
      </c>
      <c r="B77" s="4">
        <v>2012</v>
      </c>
      <c r="C77" s="24">
        <v>249.33333333333331</v>
      </c>
      <c r="D77" s="10">
        <v>7153</v>
      </c>
      <c r="E77" s="9">
        <v>1655</v>
      </c>
      <c r="F77" s="10">
        <v>-2074</v>
      </c>
      <c r="G77" s="10">
        <v>-414</v>
      </c>
      <c r="H77" s="10">
        <v>0</v>
      </c>
      <c r="I77" s="10">
        <v>-2074</v>
      </c>
      <c r="J77" s="10">
        <f t="shared" si="15"/>
        <v>4246</v>
      </c>
      <c r="K77" s="10">
        <v>-2526</v>
      </c>
      <c r="L77" s="8">
        <f t="shared" si="1"/>
        <v>1720</v>
      </c>
      <c r="M77" s="10">
        <v>-440</v>
      </c>
      <c r="N77" s="14">
        <v>-100</v>
      </c>
      <c r="O77" s="14">
        <f t="shared" si="2"/>
        <v>1180</v>
      </c>
      <c r="P77" s="14">
        <f t="shared" si="3"/>
        <v>-1386</v>
      </c>
      <c r="Q77" s="14">
        <v>-206</v>
      </c>
      <c r="R77" s="14">
        <v>2811</v>
      </c>
      <c r="S77" s="14">
        <f t="shared" si="4"/>
        <v>2351</v>
      </c>
      <c r="T77" s="14">
        <f>4956</f>
        <v>4956</v>
      </c>
      <c r="U77" s="9">
        <v>8005</v>
      </c>
      <c r="V77" s="13">
        <v>324</v>
      </c>
      <c r="W77" s="18"/>
      <c r="X77" s="106">
        <v>2012</v>
      </c>
      <c r="Y77" s="111">
        <v>6535.4799918999997</v>
      </c>
      <c r="Z77" s="111">
        <v>71265.579999999987</v>
      </c>
      <c r="AA77" s="87">
        <f t="shared" si="17"/>
        <v>9.1705981932652489E-2</v>
      </c>
    </row>
    <row r="78" spans="1:27" x14ac:dyDescent="0.3">
      <c r="A78" s="19" t="s">
        <v>16</v>
      </c>
      <c r="B78" s="3">
        <v>2013</v>
      </c>
      <c r="C78" s="23">
        <v>252.66666666666669</v>
      </c>
      <c r="D78" s="8">
        <v>8522</v>
      </c>
      <c r="E78" s="9">
        <v>2066</v>
      </c>
      <c r="F78" s="8">
        <v>-2268</v>
      </c>
      <c r="G78" s="8">
        <v>-461</v>
      </c>
      <c r="H78" s="8">
        <v>0</v>
      </c>
      <c r="I78" s="8">
        <f>-1553-617</f>
        <v>-2170</v>
      </c>
      <c r="J78" s="8">
        <f t="shared" si="15"/>
        <v>5689</v>
      </c>
      <c r="K78" s="8">
        <v>-2465</v>
      </c>
      <c r="L78" s="8">
        <f t="shared" si="1"/>
        <v>3224</v>
      </c>
      <c r="M78" s="8">
        <v>-466</v>
      </c>
      <c r="N78" s="15">
        <v>-13</v>
      </c>
      <c r="O78" s="15">
        <f t="shared" si="2"/>
        <v>2745</v>
      </c>
      <c r="P78" s="15">
        <f t="shared" si="3"/>
        <v>-2765</v>
      </c>
      <c r="Q78" s="14">
        <v>-20</v>
      </c>
      <c r="R78" s="14">
        <v>2780</v>
      </c>
      <c r="S78" s="14">
        <f t="shared" si="4"/>
        <v>2676</v>
      </c>
      <c r="T78" s="14">
        <f>5436</f>
        <v>5436</v>
      </c>
      <c r="U78" s="11">
        <v>5922</v>
      </c>
      <c r="V78" s="13">
        <v>348</v>
      </c>
      <c r="W78" s="18"/>
      <c r="X78" s="106">
        <v>2013</v>
      </c>
      <c r="Y78" s="111">
        <v>7139.1610767500006</v>
      </c>
      <c r="Z78" s="111">
        <v>75247.543000000005</v>
      </c>
      <c r="AA78" s="87">
        <f t="shared" si="17"/>
        <v>9.4875670249459171E-2</v>
      </c>
    </row>
    <row r="79" spans="1:27" x14ac:dyDescent="0.3">
      <c r="A79" s="19" t="s">
        <v>16</v>
      </c>
      <c r="B79" s="3">
        <v>2014</v>
      </c>
      <c r="C79" s="23">
        <v>245.83333333333331</v>
      </c>
      <c r="D79" s="8">
        <v>9910</v>
      </c>
      <c r="E79" s="9">
        <v>7667</v>
      </c>
      <c r="F79" s="8">
        <v>-2332</v>
      </c>
      <c r="G79" s="8">
        <v>-535</v>
      </c>
      <c r="H79" s="8">
        <v>0</v>
      </c>
      <c r="I79" s="8">
        <f>-6815-847</f>
        <v>-7662</v>
      </c>
      <c r="J79" s="8">
        <f t="shared" si="15"/>
        <v>7048</v>
      </c>
      <c r="K79" s="8">
        <v>-3035</v>
      </c>
      <c r="L79" s="8">
        <f t="shared" si="1"/>
        <v>4013</v>
      </c>
      <c r="M79" s="8">
        <v>-468</v>
      </c>
      <c r="N79" s="15">
        <v>-899</v>
      </c>
      <c r="O79" s="15">
        <f t="shared" si="2"/>
        <v>2646</v>
      </c>
      <c r="P79" s="15">
        <f t="shared" si="3"/>
        <v>-955</v>
      </c>
      <c r="Q79" s="15">
        <v>1691</v>
      </c>
      <c r="R79" s="15">
        <v>3319</v>
      </c>
      <c r="S79" s="15">
        <f t="shared" si="4"/>
        <v>1011</v>
      </c>
      <c r="T79" s="15">
        <v>6021</v>
      </c>
      <c r="U79" s="11">
        <v>12172</v>
      </c>
      <c r="V79" s="13">
        <v>386</v>
      </c>
      <c r="W79" s="18"/>
      <c r="X79" s="106">
        <v>2014</v>
      </c>
      <c r="Y79" s="111">
        <v>6862.9111590833327</v>
      </c>
      <c r="Z79" s="111">
        <v>69172.755999999994</v>
      </c>
      <c r="AA79" s="87">
        <f t="shared" si="17"/>
        <v>9.9214077274632995E-2</v>
      </c>
    </row>
    <row r="80" spans="1:27" x14ac:dyDescent="0.3">
      <c r="A80" s="19" t="s">
        <v>16</v>
      </c>
      <c r="B80" s="3">
        <v>2015</v>
      </c>
      <c r="C80" s="23">
        <v>248.83333333333334</v>
      </c>
      <c r="D80" s="8">
        <v>5382</v>
      </c>
      <c r="E80" s="11">
        <v>7260</v>
      </c>
      <c r="F80" s="8">
        <v>-2104</v>
      </c>
      <c r="G80" s="8">
        <v>-388</v>
      </c>
      <c r="H80" s="8">
        <v>0</v>
      </c>
      <c r="I80" s="8">
        <f>-6420-855</f>
        <v>-7275</v>
      </c>
      <c r="J80" s="8">
        <f t="shared" si="15"/>
        <v>2875</v>
      </c>
      <c r="K80" s="8">
        <v>-2742</v>
      </c>
      <c r="L80" s="8">
        <f t="shared" si="1"/>
        <v>133</v>
      </c>
      <c r="M80" s="8">
        <v>-450</v>
      </c>
      <c r="N80" s="15">
        <v>279</v>
      </c>
      <c r="O80" s="15">
        <f t="shared" si="2"/>
        <v>-38</v>
      </c>
      <c r="P80" s="15">
        <f t="shared" si="3"/>
        <v>-15165</v>
      </c>
      <c r="Q80" s="15">
        <v>-15203</v>
      </c>
      <c r="R80" s="15">
        <v>3129</v>
      </c>
      <c r="S80" s="15">
        <f t="shared" si="4"/>
        <v>17447</v>
      </c>
      <c r="T80" s="15">
        <v>5373</v>
      </c>
      <c r="U80" s="11">
        <v>5170</v>
      </c>
      <c r="V80" s="13">
        <v>396</v>
      </c>
      <c r="W80" s="18"/>
      <c r="X80" s="106">
        <v>2015</v>
      </c>
      <c r="Y80" s="111">
        <v>7038.7256223500008</v>
      </c>
      <c r="Z80" s="111">
        <v>-411.849999999999</v>
      </c>
      <c r="AA80" s="87">
        <f t="shared" si="17"/>
        <v>-17.090507763384771</v>
      </c>
    </row>
    <row r="81" spans="1:27" x14ac:dyDescent="0.3">
      <c r="A81" s="21" t="s">
        <v>16</v>
      </c>
      <c r="B81" s="94">
        <v>2016</v>
      </c>
      <c r="C81" s="95">
        <v>223</v>
      </c>
      <c r="D81" s="96">
        <v>4182</v>
      </c>
      <c r="E81" s="97">
        <v>6323</v>
      </c>
      <c r="F81" s="96">
        <v>-1582</v>
      </c>
      <c r="G81" s="96">
        <v>-275</v>
      </c>
      <c r="H81" s="96">
        <v>0</v>
      </c>
      <c r="I81" s="96">
        <f>-5492-645</f>
        <v>-6137</v>
      </c>
      <c r="J81" s="96">
        <f t="shared" si="15"/>
        <v>2511</v>
      </c>
      <c r="K81" s="96">
        <v>-1288</v>
      </c>
      <c r="L81" s="96">
        <f t="shared" si="1"/>
        <v>1223</v>
      </c>
      <c r="M81" s="96">
        <v>-488</v>
      </c>
      <c r="N81" s="98">
        <v>159</v>
      </c>
      <c r="O81" s="98">
        <f t="shared" si="2"/>
        <v>894</v>
      </c>
      <c r="P81" s="98">
        <f t="shared" si="3"/>
        <v>-4598</v>
      </c>
      <c r="Q81" s="98">
        <v>-3704</v>
      </c>
      <c r="R81" s="98">
        <v>1792</v>
      </c>
      <c r="S81" s="98">
        <f t="shared" si="4"/>
        <v>3658</v>
      </c>
      <c r="T81" s="98">
        <v>1746</v>
      </c>
      <c r="U81" s="97">
        <v>3132</v>
      </c>
      <c r="V81" s="13">
        <v>221</v>
      </c>
      <c r="X81" s="106">
        <v>2016</v>
      </c>
      <c r="Y81" s="111">
        <v>7130.5466271208334</v>
      </c>
      <c r="Z81" s="111">
        <v>-1041.9329999999991</v>
      </c>
    </row>
    <row r="82" spans="1:27" x14ac:dyDescent="0.3">
      <c r="A82" s="19" t="s">
        <v>2</v>
      </c>
      <c r="B82" s="3">
        <v>2007</v>
      </c>
      <c r="C82" s="23">
        <v>255.2</v>
      </c>
      <c r="D82" s="8"/>
      <c r="E82" s="11"/>
      <c r="F82" s="8">
        <v>0</v>
      </c>
      <c r="G82" s="8">
        <v>0</v>
      </c>
      <c r="H82" s="8">
        <v>0</v>
      </c>
      <c r="I82" s="8">
        <v>0</v>
      </c>
      <c r="J82" s="8">
        <f t="shared" si="15"/>
        <v>0</v>
      </c>
      <c r="K82" s="8"/>
      <c r="L82" s="8">
        <f t="shared" si="1"/>
        <v>0</v>
      </c>
      <c r="M82" s="8">
        <v>0</v>
      </c>
      <c r="N82" s="8">
        <v>0</v>
      </c>
      <c r="O82" s="8">
        <f t="shared" si="2"/>
        <v>0</v>
      </c>
      <c r="P82" s="8">
        <f t="shared" si="3"/>
        <v>0</v>
      </c>
      <c r="Q82" s="8"/>
      <c r="R82" s="8">
        <v>0</v>
      </c>
      <c r="S82" s="8">
        <f t="shared" si="4"/>
        <v>0</v>
      </c>
      <c r="T82" s="8"/>
      <c r="U82" s="9"/>
      <c r="V82" s="13"/>
      <c r="X82" s="106" t="s">
        <v>76</v>
      </c>
      <c r="Y82" s="111">
        <v>53086.853065641655</v>
      </c>
      <c r="Z82" s="111">
        <v>425146.39939999999</v>
      </c>
    </row>
    <row r="83" spans="1:27" x14ac:dyDescent="0.3">
      <c r="A83" s="19" t="s">
        <v>2</v>
      </c>
      <c r="B83" s="3">
        <v>2008</v>
      </c>
      <c r="C83" s="23">
        <v>271.06666666666666</v>
      </c>
      <c r="D83" s="8"/>
      <c r="E83" s="11"/>
      <c r="F83" s="8">
        <v>0</v>
      </c>
      <c r="G83" s="8">
        <v>0</v>
      </c>
      <c r="H83" s="8">
        <v>0</v>
      </c>
      <c r="I83" s="8">
        <v>0</v>
      </c>
      <c r="J83" s="8">
        <f t="shared" si="15"/>
        <v>0</v>
      </c>
      <c r="K83" s="8"/>
      <c r="L83" s="8">
        <f t="shared" si="1"/>
        <v>0</v>
      </c>
      <c r="M83" s="8">
        <v>0</v>
      </c>
      <c r="N83" s="8">
        <v>0</v>
      </c>
      <c r="O83" s="8">
        <f t="shared" si="2"/>
        <v>0</v>
      </c>
      <c r="P83" s="8">
        <f t="shared" si="3"/>
        <v>0</v>
      </c>
      <c r="Q83" s="8"/>
      <c r="R83" s="8">
        <v>0</v>
      </c>
      <c r="S83" s="8">
        <f t="shared" si="4"/>
        <v>0</v>
      </c>
      <c r="T83" s="8"/>
      <c r="U83" s="9"/>
      <c r="V83" s="13"/>
      <c r="W83" s="18"/>
      <c r="Z83" s="18"/>
    </row>
    <row r="84" spans="1:27" x14ac:dyDescent="0.3">
      <c r="A84" s="19" t="s">
        <v>2</v>
      </c>
      <c r="B84" s="3">
        <v>2009</v>
      </c>
      <c r="C84" s="23">
        <v>250.46666666666664</v>
      </c>
      <c r="D84" s="8">
        <f>7585+4537</f>
        <v>12122</v>
      </c>
      <c r="E84" s="9">
        <v>0</v>
      </c>
      <c r="F84" s="114">
        <f>-1280-1627</f>
        <v>-2907</v>
      </c>
      <c r="G84" s="8">
        <v>-171</v>
      </c>
      <c r="H84" s="8">
        <v>0</v>
      </c>
      <c r="I84" s="8">
        <v>-477</v>
      </c>
      <c r="J84" s="8">
        <f t="shared" si="15"/>
        <v>8567</v>
      </c>
      <c r="K84" s="8">
        <v>-3569</v>
      </c>
      <c r="L84" s="8">
        <f t="shared" si="1"/>
        <v>4998</v>
      </c>
      <c r="M84" s="8">
        <v>-507</v>
      </c>
      <c r="N84" s="14">
        <v>-766</v>
      </c>
      <c r="O84" s="14">
        <f t="shared" si="2"/>
        <v>3725</v>
      </c>
      <c r="P84" s="14">
        <f t="shared" si="3"/>
        <v>-1895</v>
      </c>
      <c r="Q84" s="14">
        <v>1830</v>
      </c>
      <c r="R84" s="14">
        <v>3704</v>
      </c>
      <c r="S84" s="14">
        <f t="shared" si="4"/>
        <v>2339</v>
      </c>
      <c r="T84" s="14">
        <f>7873</f>
        <v>7873</v>
      </c>
      <c r="U84" s="9">
        <v>4810</v>
      </c>
      <c r="V84" s="13">
        <v>1051</v>
      </c>
      <c r="W84" s="18" t="s">
        <v>95</v>
      </c>
      <c r="Z84" s="18"/>
    </row>
    <row r="85" spans="1:27" x14ac:dyDescent="0.3">
      <c r="A85" s="19" t="s">
        <v>2</v>
      </c>
      <c r="B85" s="3">
        <v>2010</v>
      </c>
      <c r="C85" s="23">
        <v>201.96666666666667</v>
      </c>
      <c r="D85" s="8">
        <f>2829+4275</f>
        <v>7104</v>
      </c>
      <c r="E85" s="9">
        <v>0</v>
      </c>
      <c r="F85" s="114">
        <f>-859-1060</f>
        <v>-1919</v>
      </c>
      <c r="G85" s="8">
        <v>-217</v>
      </c>
      <c r="H85" s="8">
        <v>0</v>
      </c>
      <c r="I85" s="8">
        <v>-361</v>
      </c>
      <c r="J85" s="8">
        <f t="shared" si="15"/>
        <v>4607</v>
      </c>
      <c r="K85" s="8">
        <v>-3240</v>
      </c>
      <c r="L85" s="8">
        <f t="shared" si="1"/>
        <v>1367</v>
      </c>
      <c r="M85" s="8">
        <v>-507</v>
      </c>
      <c r="N85" s="14">
        <v>-2024</v>
      </c>
      <c r="O85" s="14">
        <f t="shared" si="2"/>
        <v>-1164</v>
      </c>
      <c r="P85" s="14">
        <f t="shared" si="3"/>
        <v>2334</v>
      </c>
      <c r="Q85" s="14">
        <v>1170</v>
      </c>
      <c r="R85" s="14">
        <v>3318</v>
      </c>
      <c r="S85" s="14">
        <f t="shared" si="4"/>
        <v>-2159</v>
      </c>
      <c r="T85" s="14">
        <f>2329</f>
        <v>2329</v>
      </c>
      <c r="U85" s="9">
        <v>5434</v>
      </c>
      <c r="V85" s="13">
        <v>590</v>
      </c>
      <c r="W85" s="18" t="s">
        <v>96</v>
      </c>
      <c r="Z85" s="18"/>
    </row>
    <row r="86" spans="1:27" x14ac:dyDescent="0.3">
      <c r="A86" s="19" t="s">
        <v>2</v>
      </c>
      <c r="B86" s="3">
        <v>2011</v>
      </c>
      <c r="C86" s="23">
        <v>211.46666666666667</v>
      </c>
      <c r="D86" s="8">
        <f>2872+4022</f>
        <v>6894</v>
      </c>
      <c r="E86" s="9">
        <v>0</v>
      </c>
      <c r="F86" s="114">
        <f>-1193-866</f>
        <v>-2059</v>
      </c>
      <c r="G86" s="8">
        <v>-198</v>
      </c>
      <c r="H86" s="8">
        <v>0</v>
      </c>
      <c r="I86" s="8">
        <v>-348</v>
      </c>
      <c r="J86" s="8">
        <f t="shared" si="15"/>
        <v>4289</v>
      </c>
      <c r="K86" s="8">
        <v>-2192</v>
      </c>
      <c r="L86" s="8">
        <f t="shared" si="1"/>
        <v>2097</v>
      </c>
      <c r="M86" s="8">
        <v>-486</v>
      </c>
      <c r="N86" s="14">
        <v>88</v>
      </c>
      <c r="O86" s="14">
        <f t="shared" si="2"/>
        <v>1699</v>
      </c>
      <c r="P86" s="14">
        <f t="shared" si="3"/>
        <v>-1694</v>
      </c>
      <c r="Q86" s="14">
        <v>5</v>
      </c>
      <c r="R86" s="14">
        <v>3423</v>
      </c>
      <c r="S86" s="14">
        <f t="shared" si="4"/>
        <v>499</v>
      </c>
      <c r="T86" s="14">
        <f>3927</f>
        <v>3927</v>
      </c>
      <c r="U86" s="9">
        <v>4960</v>
      </c>
      <c r="V86" s="13">
        <v>588</v>
      </c>
      <c r="W86" s="18"/>
    </row>
    <row r="87" spans="1:27" x14ac:dyDescent="0.3">
      <c r="A87" s="20" t="s">
        <v>2</v>
      </c>
      <c r="B87" s="4">
        <v>2012</v>
      </c>
      <c r="C87" s="24">
        <v>192.96666666666664</v>
      </c>
      <c r="D87" s="10">
        <f>2760+3365</f>
        <v>6125</v>
      </c>
      <c r="E87" s="9">
        <v>0</v>
      </c>
      <c r="F87" s="114">
        <f>-1231-794</f>
        <v>-2025</v>
      </c>
      <c r="G87" s="10">
        <v>-105</v>
      </c>
      <c r="H87" s="10">
        <v>0</v>
      </c>
      <c r="I87" s="10">
        <v>-392</v>
      </c>
      <c r="J87" s="10">
        <f t="shared" si="15"/>
        <v>3603</v>
      </c>
      <c r="K87" s="10">
        <v>-1850</v>
      </c>
      <c r="L87" s="8">
        <f t="shared" si="1"/>
        <v>1753</v>
      </c>
      <c r="M87" s="10">
        <v>-509</v>
      </c>
      <c r="N87" s="14">
        <v>124</v>
      </c>
      <c r="O87" s="14">
        <f t="shared" si="2"/>
        <v>1368</v>
      </c>
      <c r="P87" s="14">
        <f t="shared" si="3"/>
        <v>-4162</v>
      </c>
      <c r="Q87" s="14">
        <v>-2794</v>
      </c>
      <c r="R87" s="14">
        <v>1956</v>
      </c>
      <c r="S87" s="14">
        <f t="shared" si="4"/>
        <v>3945</v>
      </c>
      <c r="T87" s="14">
        <f>3107</f>
        <v>3107</v>
      </c>
      <c r="U87" s="9">
        <v>3673</v>
      </c>
      <c r="V87" s="13">
        <v>588</v>
      </c>
      <c r="W87" s="18"/>
      <c r="X87" s="105" t="s">
        <v>0</v>
      </c>
      <c r="Y87" s="104" t="s">
        <v>117</v>
      </c>
      <c r="Z87" s="18"/>
    </row>
    <row r="88" spans="1:27" x14ac:dyDescent="0.3">
      <c r="A88" s="19" t="s">
        <v>2</v>
      </c>
      <c r="B88" s="3">
        <v>2013</v>
      </c>
      <c r="C88" s="23">
        <v>188.7</v>
      </c>
      <c r="D88" s="8">
        <f>2824+2902</f>
        <v>5726</v>
      </c>
      <c r="E88" s="11">
        <v>0</v>
      </c>
      <c r="F88" s="114">
        <f>-1467-829</f>
        <v>-2296</v>
      </c>
      <c r="G88" s="8">
        <v>-173</v>
      </c>
      <c r="H88" s="8">
        <v>0</v>
      </c>
      <c r="I88" s="8">
        <v>-439</v>
      </c>
      <c r="J88" s="8">
        <f t="shared" si="15"/>
        <v>2818</v>
      </c>
      <c r="K88" s="8">
        <v>-1419</v>
      </c>
      <c r="L88" s="8">
        <f t="shared" si="1"/>
        <v>1399</v>
      </c>
      <c r="M88" s="8">
        <v>-575</v>
      </c>
      <c r="N88" s="15">
        <v>186</v>
      </c>
      <c r="O88" s="15">
        <f t="shared" si="2"/>
        <v>1010</v>
      </c>
      <c r="P88" s="15">
        <f t="shared" si="3"/>
        <v>-774</v>
      </c>
      <c r="Q88" s="14">
        <v>236</v>
      </c>
      <c r="R88" s="14">
        <v>1565</v>
      </c>
      <c r="S88" s="14">
        <f t="shared" si="4"/>
        <v>488</v>
      </c>
      <c r="T88" s="14">
        <f>2289</f>
        <v>2289</v>
      </c>
      <c r="U88" s="11">
        <v>2832</v>
      </c>
      <c r="V88" s="13">
        <v>401</v>
      </c>
      <c r="W88" s="18"/>
      <c r="Z88" s="18"/>
    </row>
    <row r="89" spans="1:27" x14ac:dyDescent="0.3">
      <c r="A89" s="19" t="s">
        <v>2</v>
      </c>
      <c r="B89" s="3">
        <v>2014</v>
      </c>
      <c r="C89" s="23">
        <v>174.7</v>
      </c>
      <c r="D89" s="8">
        <f>3310+2902</f>
        <v>6212</v>
      </c>
      <c r="E89" s="11">
        <v>0</v>
      </c>
      <c r="F89" s="114">
        <f>-1496-667</f>
        <v>-2163</v>
      </c>
      <c r="G89" s="8">
        <v>-210</v>
      </c>
      <c r="H89" s="8">
        <v>0</v>
      </c>
      <c r="I89" s="8">
        <v>-327</v>
      </c>
      <c r="J89" s="8">
        <f t="shared" si="15"/>
        <v>3512</v>
      </c>
      <c r="K89" s="8">
        <v>-1617</v>
      </c>
      <c r="L89" s="8">
        <f t="shared" si="1"/>
        <v>1895</v>
      </c>
      <c r="M89" s="8">
        <v>-648</v>
      </c>
      <c r="N89" s="15">
        <v>-43</v>
      </c>
      <c r="O89" s="15">
        <f t="shared" si="2"/>
        <v>1204</v>
      </c>
      <c r="P89" s="15">
        <f t="shared" si="3"/>
        <v>2222</v>
      </c>
      <c r="Q89" s="15">
        <v>3426</v>
      </c>
      <c r="R89" s="15">
        <v>1745</v>
      </c>
      <c r="S89" s="15">
        <f t="shared" si="4"/>
        <v>-2504</v>
      </c>
      <c r="T89" s="15">
        <f>2667</f>
        <v>2667</v>
      </c>
      <c r="U89" s="11">
        <v>12992</v>
      </c>
      <c r="V89" s="13">
        <v>202</v>
      </c>
      <c r="W89" s="18"/>
      <c r="X89" s="105" t="s">
        <v>75</v>
      </c>
      <c r="Y89" s="104" t="s">
        <v>93</v>
      </c>
      <c r="Z89" s="104" t="s">
        <v>87</v>
      </c>
      <c r="AA89" s="104" t="s">
        <v>119</v>
      </c>
    </row>
    <row r="90" spans="1:27" x14ac:dyDescent="0.3">
      <c r="A90" s="19" t="s">
        <v>2</v>
      </c>
      <c r="B90" s="3">
        <v>2015</v>
      </c>
      <c r="C90" s="23">
        <v>148</v>
      </c>
      <c r="D90" s="8">
        <f>1822+2491</f>
        <v>4313</v>
      </c>
      <c r="E90" s="11">
        <v>0</v>
      </c>
      <c r="F90" s="114">
        <f>-1252-723</f>
        <v>-1975</v>
      </c>
      <c r="G90" s="8">
        <v>-144</v>
      </c>
      <c r="H90" s="8">
        <v>0</v>
      </c>
      <c r="I90" s="8">
        <v>-275</v>
      </c>
      <c r="J90" s="8">
        <f t="shared" si="15"/>
        <v>1919</v>
      </c>
      <c r="K90" s="8">
        <v>-1393</v>
      </c>
      <c r="L90" s="8">
        <f t="shared" si="1"/>
        <v>526</v>
      </c>
      <c r="M90" s="8">
        <v>-602</v>
      </c>
      <c r="N90" s="15">
        <v>105</v>
      </c>
      <c r="O90" s="15">
        <f t="shared" si="2"/>
        <v>29</v>
      </c>
      <c r="P90" s="15">
        <f t="shared" si="3"/>
        <v>-5194</v>
      </c>
      <c r="Q90" s="15">
        <v>-5165</v>
      </c>
      <c r="R90" s="15">
        <v>1488</v>
      </c>
      <c r="S90" s="15">
        <f t="shared" si="4"/>
        <v>5358</v>
      </c>
      <c r="T90" s="15">
        <v>1681</v>
      </c>
      <c r="U90" s="11">
        <v>2263</v>
      </c>
      <c r="V90" s="13">
        <v>152</v>
      </c>
      <c r="W90" s="18"/>
      <c r="X90" s="106">
        <v>2009</v>
      </c>
      <c r="Y90" s="110">
        <v>83569.98</v>
      </c>
      <c r="Z90" s="110">
        <v>52622.704999999994</v>
      </c>
      <c r="AA90" s="110">
        <v>59476.690709999995</v>
      </c>
    </row>
    <row r="91" spans="1:27" x14ac:dyDescent="0.3">
      <c r="A91" s="21" t="s">
        <v>2</v>
      </c>
      <c r="B91" s="94">
        <v>2016</v>
      </c>
      <c r="C91" s="95">
        <v>129.1</v>
      </c>
      <c r="D91" s="96">
        <f>1067+1770</f>
        <v>2837</v>
      </c>
      <c r="E91" s="97">
        <v>0</v>
      </c>
      <c r="F91" s="115">
        <f>-901-598</f>
        <v>-1499</v>
      </c>
      <c r="G91" s="96">
        <v>-99</v>
      </c>
      <c r="H91" s="96"/>
      <c r="I91" s="96">
        <v>-309</v>
      </c>
      <c r="J91" s="96">
        <v>1831</v>
      </c>
      <c r="K91" s="96">
        <v>-783</v>
      </c>
      <c r="L91" s="96">
        <f t="shared" si="1"/>
        <v>1048</v>
      </c>
      <c r="M91" s="96">
        <v>-397</v>
      </c>
      <c r="N91" s="98">
        <v>19</v>
      </c>
      <c r="O91" s="98">
        <f t="shared" si="2"/>
        <v>670</v>
      </c>
      <c r="P91" s="98">
        <f t="shared" si="3"/>
        <v>-1614</v>
      </c>
      <c r="Q91" s="98">
        <v>-944</v>
      </c>
      <c r="R91" s="98">
        <v>859</v>
      </c>
      <c r="S91" s="98">
        <f t="shared" si="4"/>
        <v>710</v>
      </c>
      <c r="T91" s="98">
        <v>625</v>
      </c>
      <c r="U91" s="97">
        <v>1339</v>
      </c>
      <c r="V91" s="13">
        <v>51</v>
      </c>
      <c r="W91" s="18"/>
      <c r="X91" s="106">
        <v>2010</v>
      </c>
      <c r="Y91" s="110">
        <v>105509.59699999999</v>
      </c>
      <c r="Z91" s="110">
        <v>73616.716</v>
      </c>
      <c r="AA91" s="110">
        <v>66720.113612187502</v>
      </c>
    </row>
    <row r="92" spans="1:27" x14ac:dyDescent="0.3">
      <c r="A92" s="19" t="s">
        <v>3</v>
      </c>
      <c r="B92" s="3">
        <v>2007</v>
      </c>
      <c r="C92" s="23">
        <v>106.13223333333333</v>
      </c>
      <c r="D92" s="8"/>
      <c r="E92" s="9"/>
      <c r="F92" s="8">
        <v>0</v>
      </c>
      <c r="G92" s="8">
        <v>0</v>
      </c>
      <c r="H92" s="8">
        <v>0</v>
      </c>
      <c r="I92" s="8">
        <v>0</v>
      </c>
      <c r="J92" s="8">
        <f t="shared" si="15"/>
        <v>0</v>
      </c>
      <c r="K92" s="8"/>
      <c r="L92" s="8">
        <f t="shared" si="1"/>
        <v>0</v>
      </c>
      <c r="M92" s="8">
        <v>0</v>
      </c>
      <c r="N92" s="8">
        <v>0</v>
      </c>
      <c r="O92" s="8">
        <f t="shared" si="2"/>
        <v>0</v>
      </c>
      <c r="P92" s="8">
        <f t="shared" si="3"/>
        <v>0</v>
      </c>
      <c r="Q92" s="8"/>
      <c r="R92" s="8">
        <v>0</v>
      </c>
      <c r="S92" s="8">
        <f t="shared" si="4"/>
        <v>0</v>
      </c>
      <c r="T92" s="8"/>
      <c r="U92" s="9"/>
      <c r="V92" s="13"/>
      <c r="W92" s="18"/>
      <c r="X92" s="106">
        <v>2011</v>
      </c>
      <c r="Y92" s="110">
        <v>118255.89339999999</v>
      </c>
      <c r="Z92" s="110">
        <v>84674.882400000002</v>
      </c>
      <c r="AA92" s="110">
        <v>89981.815866249992</v>
      </c>
    </row>
    <row r="93" spans="1:27" x14ac:dyDescent="0.3">
      <c r="A93" s="19" t="s">
        <v>3</v>
      </c>
      <c r="B93" s="3">
        <v>2008</v>
      </c>
      <c r="C93" s="23">
        <v>123.07833333333333</v>
      </c>
      <c r="D93" s="8"/>
      <c r="E93" s="9"/>
      <c r="F93" s="8">
        <v>0</v>
      </c>
      <c r="G93" s="8">
        <v>0</v>
      </c>
      <c r="H93" s="8">
        <v>0</v>
      </c>
      <c r="I93" s="8">
        <v>0</v>
      </c>
      <c r="J93" s="8">
        <f t="shared" si="15"/>
        <v>0</v>
      </c>
      <c r="K93" s="8"/>
      <c r="L93" s="8">
        <f t="shared" si="1"/>
        <v>0</v>
      </c>
      <c r="M93" s="8">
        <v>0</v>
      </c>
      <c r="N93" s="8">
        <v>0</v>
      </c>
      <c r="O93" s="8">
        <f t="shared" si="2"/>
        <v>0</v>
      </c>
      <c r="P93" s="8">
        <f t="shared" si="3"/>
        <v>0</v>
      </c>
      <c r="Q93" s="8"/>
      <c r="R93" s="8">
        <v>0</v>
      </c>
      <c r="S93" s="8">
        <f t="shared" si="4"/>
        <v>0</v>
      </c>
      <c r="T93" s="8"/>
      <c r="U93" s="9"/>
      <c r="V93" s="13">
        <v>115</v>
      </c>
      <c r="W93" s="18"/>
      <c r="X93" s="106">
        <v>2012</v>
      </c>
      <c r="Y93" s="110">
        <v>108715.06200000001</v>
      </c>
      <c r="Z93" s="110">
        <v>71265.579999999987</v>
      </c>
      <c r="AA93" s="110">
        <v>94961.039991900005</v>
      </c>
    </row>
    <row r="94" spans="1:27" x14ac:dyDescent="0.3">
      <c r="A94" s="19" t="s">
        <v>3</v>
      </c>
      <c r="B94" s="3">
        <v>2009</v>
      </c>
      <c r="C94" s="23">
        <v>131.54599999999999</v>
      </c>
      <c r="D94" s="8">
        <f>1089.711+258.799+2050.963</f>
        <v>3399.473</v>
      </c>
      <c r="E94" s="9">
        <v>407.11599999999999</v>
      </c>
      <c r="F94" s="8">
        <f>-283.329-738.596</f>
        <v>-1021.925</v>
      </c>
      <c r="G94" s="8">
        <v>-174.363</v>
      </c>
      <c r="H94" s="8">
        <f>-169.592-51.243</f>
        <v>-220.83500000000001</v>
      </c>
      <c r="I94" s="8">
        <v>-645.649</v>
      </c>
      <c r="J94" s="8">
        <f t="shared" si="15"/>
        <v>1743.817</v>
      </c>
      <c r="K94" s="8">
        <v>-1453.326</v>
      </c>
      <c r="L94" s="8">
        <f t="shared" si="1"/>
        <v>290.49099999999999</v>
      </c>
      <c r="M94" s="8">
        <v>-155.82</v>
      </c>
      <c r="N94" s="14">
        <v>-51.683999999999997</v>
      </c>
      <c r="O94" s="14">
        <f t="shared" si="2"/>
        <v>82.986999999999995</v>
      </c>
      <c r="P94" s="14">
        <f t="shared" si="3"/>
        <v>463.64</v>
      </c>
      <c r="Q94" s="14">
        <v>546.62699999999995</v>
      </c>
      <c r="R94" s="14">
        <v>1549.1880000000001</v>
      </c>
      <c r="S94" s="14">
        <f t="shared" si="4"/>
        <v>826.6239999999998</v>
      </c>
      <c r="T94" s="14">
        <f>2922.439</f>
        <v>2922.4389999999999</v>
      </c>
      <c r="U94" s="9">
        <f>3907.498-60-18-6</f>
        <v>3823.498</v>
      </c>
      <c r="V94" s="13">
        <v>142</v>
      </c>
      <c r="W94" s="18"/>
      <c r="X94" s="106">
        <v>2013</v>
      </c>
      <c r="Y94" s="110">
        <v>114524.406</v>
      </c>
      <c r="Z94" s="110">
        <v>75247.543000000005</v>
      </c>
      <c r="AA94" s="110">
        <v>95481.54107675</v>
      </c>
    </row>
    <row r="95" spans="1:27" x14ac:dyDescent="0.3">
      <c r="A95" s="19" t="s">
        <v>3</v>
      </c>
      <c r="B95" s="3">
        <v>2010</v>
      </c>
      <c r="C95" s="23">
        <v>143.93066666666667</v>
      </c>
      <c r="D95" s="8">
        <f>1998.771+462.345+2420.099</f>
        <v>4881.2150000000001</v>
      </c>
      <c r="E95" s="9">
        <v>909.68</v>
      </c>
      <c r="F95" s="8">
        <f>-72.486-385.189</f>
        <v>-457.67500000000001</v>
      </c>
      <c r="G95" s="8">
        <v>-317.07400000000001</v>
      </c>
      <c r="H95" s="8">
        <f>-187.381-72.486</f>
        <v>-259.86700000000002</v>
      </c>
      <c r="I95" s="8">
        <v>-1164.6859999999999</v>
      </c>
      <c r="J95" s="8">
        <f t="shared" si="15"/>
        <v>3591.5930000000008</v>
      </c>
      <c r="K95" s="8">
        <v>-1831.0229999999999</v>
      </c>
      <c r="L95" s="8">
        <f t="shared" si="1"/>
        <v>1760.5700000000008</v>
      </c>
      <c r="M95" s="8">
        <v>-205.886</v>
      </c>
      <c r="N95" s="14">
        <v>-233.46199999999999</v>
      </c>
      <c r="O95" s="14">
        <f t="shared" si="2"/>
        <v>1321.2220000000009</v>
      </c>
      <c r="P95" s="14">
        <f t="shared" si="3"/>
        <v>-1160.5680000000009</v>
      </c>
      <c r="Q95" s="14">
        <v>160.654</v>
      </c>
      <c r="R95" s="14">
        <v>1941.9259999999999</v>
      </c>
      <c r="S95" s="14">
        <f t="shared" si="4"/>
        <v>606.02199999999993</v>
      </c>
      <c r="T95" s="14">
        <f>2708.602</f>
        <v>2708.6019999999999</v>
      </c>
      <c r="U95" s="9">
        <f>5458.505-71-2-2+3</f>
        <v>5386.5050000000001</v>
      </c>
      <c r="V95" s="13">
        <v>153</v>
      </c>
      <c r="W95" s="18"/>
      <c r="X95" s="106">
        <v>2014</v>
      </c>
      <c r="Y95" s="110">
        <v>112734.35900000001</v>
      </c>
      <c r="Z95" s="110">
        <v>69172.755999999994</v>
      </c>
      <c r="AA95" s="110">
        <v>106665.20715908334</v>
      </c>
    </row>
    <row r="96" spans="1:27" x14ac:dyDescent="0.3">
      <c r="A96" s="19" t="s">
        <v>3</v>
      </c>
      <c r="B96" s="3">
        <v>2011</v>
      </c>
      <c r="C96" s="23">
        <v>156.142</v>
      </c>
      <c r="D96" s="8">
        <f>3838.284+779.364+2240.51</f>
        <v>6858.1580000000004</v>
      </c>
      <c r="E96" s="11">
        <v>2115.7919999999999</v>
      </c>
      <c r="F96" s="8">
        <f>-430.322-1332.21</f>
        <v>-1762.5320000000002</v>
      </c>
      <c r="G96" s="8">
        <v>-410.54899999999998</v>
      </c>
      <c r="H96" s="8">
        <f>-171.658-53.23</f>
        <v>-224.88799999999998</v>
      </c>
      <c r="I96" s="8">
        <v>-2376.9480000000003</v>
      </c>
      <c r="J96" s="8">
        <f t="shared" si="15"/>
        <v>4199.0330000000004</v>
      </c>
      <c r="K96" s="8">
        <v>-2393.8139999999999</v>
      </c>
      <c r="L96" s="8">
        <f t="shared" ref="L96:L158" si="18">+SUM(J96:K96)</f>
        <v>1805.2190000000005</v>
      </c>
      <c r="M96" s="8">
        <v>-268.10399999999998</v>
      </c>
      <c r="N96" s="14">
        <v>-260.22399999999999</v>
      </c>
      <c r="O96" s="14">
        <f t="shared" ref="O96:O158" si="19">+SUM(L96:N96)</f>
        <v>1276.8910000000005</v>
      </c>
      <c r="P96" s="14">
        <f t="shared" ref="P96:P158" si="20">+Q96-O96</f>
        <v>-185.76800000000048</v>
      </c>
      <c r="Q96" s="14">
        <v>1091.123</v>
      </c>
      <c r="R96" s="14">
        <v>2516.3809999999999</v>
      </c>
      <c r="S96" s="14">
        <f t="shared" ref="S96:S158" si="21">+T96-SUM(Q96:R96)</f>
        <v>970.90599999999995</v>
      </c>
      <c r="T96" s="14">
        <f>4578.41</f>
        <v>4578.41</v>
      </c>
      <c r="U96" s="9">
        <f>6599.164-52-70-7-4</f>
        <v>6466.1639999999998</v>
      </c>
      <c r="V96" s="13">
        <v>167</v>
      </c>
      <c r="W96" s="18"/>
      <c r="X96" s="106">
        <v>2015</v>
      </c>
      <c r="Y96" s="110">
        <v>43602.547999999995</v>
      </c>
      <c r="Z96" s="110">
        <v>-411.849999999999</v>
      </c>
      <c r="AA96" s="110">
        <v>82215.862622349989</v>
      </c>
    </row>
    <row r="97" spans="1:27" x14ac:dyDescent="0.3">
      <c r="A97" s="20" t="s">
        <v>3</v>
      </c>
      <c r="B97" s="4">
        <v>2012</v>
      </c>
      <c r="C97" s="24">
        <v>171.05166666666668</v>
      </c>
      <c r="D97" s="10">
        <f>5659.437+727.177+1571.762</f>
        <v>7958.3759999999993</v>
      </c>
      <c r="E97" s="11">
        <v>3096.694</v>
      </c>
      <c r="F97" s="10">
        <f>-601.431-1468.628</f>
        <v>-2070.0590000000002</v>
      </c>
      <c r="G97" s="10">
        <v>-495.39499999999998</v>
      </c>
      <c r="H97" s="10">
        <f>-185.569-14.97</f>
        <v>-200.53899999999999</v>
      </c>
      <c r="I97" s="10">
        <v>-3367.0390000000002</v>
      </c>
      <c r="J97" s="10">
        <f t="shared" si="15"/>
        <v>4922.0379999999968</v>
      </c>
      <c r="K97" s="10">
        <v>-3024.5140000000001</v>
      </c>
      <c r="L97" s="8">
        <f t="shared" si="18"/>
        <v>1897.5239999999967</v>
      </c>
      <c r="M97" s="8">
        <v>-263.25400000000002</v>
      </c>
      <c r="N97" s="14">
        <v>-360.00599999999997</v>
      </c>
      <c r="O97" s="14">
        <f t="shared" si="19"/>
        <v>1274.2639999999969</v>
      </c>
      <c r="P97" s="14">
        <f t="shared" si="20"/>
        <v>-703.98499999999694</v>
      </c>
      <c r="Q97" s="14">
        <v>570.279</v>
      </c>
      <c r="R97" s="14">
        <v>3169.9029999999998</v>
      </c>
      <c r="S97" s="14">
        <f t="shared" si="21"/>
        <v>1496.5950000000003</v>
      </c>
      <c r="T97" s="14">
        <f>5236.777</f>
        <v>5236.777</v>
      </c>
      <c r="U97" s="9">
        <f>7068.19-80-33-2-12</f>
        <v>6941.19</v>
      </c>
      <c r="V97" s="13">
        <v>181</v>
      </c>
      <c r="W97" s="18"/>
      <c r="X97" s="106">
        <v>2016</v>
      </c>
      <c r="Y97" s="110">
        <v>35724.273999999998</v>
      </c>
      <c r="Z97" s="110">
        <v>-1041.9329999999991</v>
      </c>
      <c r="AA97" s="110">
        <v>65335.600627120839</v>
      </c>
    </row>
    <row r="98" spans="1:27" x14ac:dyDescent="0.3">
      <c r="A98" s="19" t="s">
        <v>3</v>
      </c>
      <c r="B98" s="3">
        <v>2013</v>
      </c>
      <c r="C98" s="23">
        <v>187.98833333333332</v>
      </c>
      <c r="D98" s="8">
        <f>8300.647+773.97+1681.029</f>
        <v>10755.646000000001</v>
      </c>
      <c r="E98" s="11">
        <v>3643.7489999999998</v>
      </c>
      <c r="F98" s="8">
        <f>-853.044-1706.222</f>
        <v>-2559.2660000000001</v>
      </c>
      <c r="G98" s="8">
        <v>-623.94399999999996</v>
      </c>
      <c r="H98" s="8">
        <f>-161.346-74.655</f>
        <v>-236.001</v>
      </c>
      <c r="I98" s="8">
        <v>-2997.152</v>
      </c>
      <c r="J98" s="8">
        <f t="shared" si="15"/>
        <v>7983.0320000000011</v>
      </c>
      <c r="K98" s="8">
        <v>-3498.01</v>
      </c>
      <c r="L98" s="8">
        <f t="shared" si="18"/>
        <v>4485.0220000000008</v>
      </c>
      <c r="M98" s="8">
        <v>-284.59899999999999</v>
      </c>
      <c r="N98" s="15">
        <v>-294.73899999999998</v>
      </c>
      <c r="O98" s="15">
        <f t="shared" si="19"/>
        <v>3905.6840000000007</v>
      </c>
      <c r="P98" s="15">
        <f t="shared" si="20"/>
        <v>-1708.5750000000007</v>
      </c>
      <c r="Q98" s="14">
        <v>2197.1089999999999</v>
      </c>
      <c r="R98" s="14">
        <v>3600.9760000000001</v>
      </c>
      <c r="S98" s="14">
        <f t="shared" si="21"/>
        <v>1531.3289999999997</v>
      </c>
      <c r="T98" s="14">
        <f>7329.414</f>
        <v>7329.4139999999998</v>
      </c>
      <c r="U98" s="11">
        <f>6997.891-84-13-37</f>
        <v>6863.8909999999996</v>
      </c>
      <c r="V98" s="13">
        <v>199</v>
      </c>
      <c r="W98" s="18"/>
      <c r="X98" s="18"/>
      <c r="Y98" s="18"/>
      <c r="Z98" s="18"/>
    </row>
    <row r="99" spans="1:27" x14ac:dyDescent="0.3">
      <c r="A99" s="19" t="s">
        <v>3</v>
      </c>
      <c r="B99" s="3">
        <v>2014</v>
      </c>
      <c r="C99" s="23">
        <v>219.12833333333333</v>
      </c>
      <c r="D99" s="8">
        <f>9742.48+934.051+1916.384</f>
        <v>12592.914999999999</v>
      </c>
      <c r="E99" s="9">
        <v>4046.3159999999998</v>
      </c>
      <c r="F99" s="8">
        <f>-972.176-2150.027</f>
        <v>-3122.203</v>
      </c>
      <c r="G99" s="8">
        <v>-757.56399999999996</v>
      </c>
      <c r="H99" s="8">
        <f>-184.388-48.49</f>
        <v>-232.87800000000001</v>
      </c>
      <c r="I99" s="8">
        <v>-4528.0700000000006</v>
      </c>
      <c r="J99" s="8">
        <f t="shared" si="15"/>
        <v>7998.5159999999987</v>
      </c>
      <c r="K99" s="8">
        <v>-3881.72</v>
      </c>
      <c r="L99" s="8">
        <f t="shared" si="18"/>
        <v>4116.7959999999985</v>
      </c>
      <c r="M99" s="8">
        <v>-258.62799999999999</v>
      </c>
      <c r="N99" s="15">
        <v>-342.74099999999999</v>
      </c>
      <c r="O99" s="15">
        <f t="shared" si="19"/>
        <v>3515.4269999999983</v>
      </c>
      <c r="P99" s="15">
        <f t="shared" si="20"/>
        <v>-599.93999999999824</v>
      </c>
      <c r="Q99" s="15">
        <v>2915.4870000000001</v>
      </c>
      <c r="R99" s="15">
        <v>3997.0410000000002</v>
      </c>
      <c r="S99" s="15">
        <f t="shared" si="21"/>
        <v>1736.6270000000004</v>
      </c>
      <c r="T99" s="15">
        <f>8649.155</f>
        <v>8649.1550000000007</v>
      </c>
      <c r="U99" s="11">
        <f>7904.769-149-31-2</f>
        <v>7722.7690000000002</v>
      </c>
      <c r="V99" s="13">
        <v>280</v>
      </c>
      <c r="W99" s="18"/>
      <c r="X99" s="18"/>
      <c r="Y99" s="18"/>
      <c r="Z99" s="18"/>
    </row>
    <row r="100" spans="1:27" x14ac:dyDescent="0.3">
      <c r="A100" s="19" t="s">
        <v>3</v>
      </c>
      <c r="B100" s="3">
        <v>2015</v>
      </c>
      <c r="C100" s="23">
        <v>211.17833333333334</v>
      </c>
      <c r="D100" s="8">
        <f>4934.562+407.658+1061.038</f>
        <v>6403.2579999999998</v>
      </c>
      <c r="E100" s="11">
        <v>2253.1350000000002</v>
      </c>
      <c r="F100" s="8">
        <f>-849.319-1581.131</f>
        <v>-2430.4499999999998</v>
      </c>
      <c r="G100" s="8">
        <v>-421.74400000000003</v>
      </c>
      <c r="H100" s="8">
        <f>-149.494-14.746</f>
        <v>-164.24</v>
      </c>
      <c r="I100" s="8">
        <f>-2385.928-366.594</f>
        <v>-2752.5219999999999</v>
      </c>
      <c r="J100" s="8">
        <f t="shared" si="15"/>
        <v>2887.4370000000008</v>
      </c>
      <c r="K100" s="8">
        <v>-3190.4430000000002</v>
      </c>
      <c r="L100" s="8">
        <f t="shared" si="18"/>
        <v>-303.0059999999994</v>
      </c>
      <c r="M100" s="8">
        <v>-279.23399999999998</v>
      </c>
      <c r="N100" s="15">
        <v>-41.107999999999997</v>
      </c>
      <c r="O100" s="15">
        <f t="shared" si="19"/>
        <v>-623.34799999999927</v>
      </c>
      <c r="P100" s="15">
        <f t="shared" si="20"/>
        <v>-3901.1670000000013</v>
      </c>
      <c r="Q100" s="15">
        <v>-4524.5150000000003</v>
      </c>
      <c r="R100" s="15">
        <v>3313.6439999999998</v>
      </c>
      <c r="S100" s="15">
        <f t="shared" si="21"/>
        <v>4806.0360000000001</v>
      </c>
      <c r="T100" s="15">
        <v>3595.165</v>
      </c>
      <c r="U100" s="11">
        <f>4928.283-32-15-6</f>
        <v>4875.2830000000004</v>
      </c>
      <c r="V100" s="13">
        <v>367</v>
      </c>
      <c r="W100" s="18"/>
      <c r="X100" s="18"/>
      <c r="Y100" s="18"/>
      <c r="Z100" s="18"/>
    </row>
    <row r="101" spans="1:27" x14ac:dyDescent="0.3">
      <c r="A101" s="21" t="s">
        <v>3</v>
      </c>
      <c r="B101" s="94">
        <v>2016</v>
      </c>
      <c r="C101" s="95">
        <v>207.05</v>
      </c>
      <c r="D101" s="96">
        <f>4317.341+437.25+742.152</f>
        <v>5496.7430000000004</v>
      </c>
      <c r="E101" s="97">
        <v>1966.259</v>
      </c>
      <c r="F101" s="96">
        <f>-764.106-1254.013</f>
        <v>-2018.1189999999999</v>
      </c>
      <c r="G101" s="96">
        <v>-349.71</v>
      </c>
      <c r="H101" s="96">
        <f>-124.953-10.657</f>
        <v>-135.61000000000001</v>
      </c>
      <c r="I101" s="96">
        <v>-2007.635</v>
      </c>
      <c r="J101" s="96">
        <f t="shared" si="15"/>
        <v>2951.9280000000008</v>
      </c>
      <c r="K101" s="96">
        <v>-3434.2840000000001</v>
      </c>
      <c r="L101" s="96">
        <f t="shared" si="18"/>
        <v>-482.35599999999931</v>
      </c>
      <c r="M101" s="96">
        <v>-313.34100000000001</v>
      </c>
      <c r="N101" s="98">
        <v>39.292999999999999</v>
      </c>
      <c r="O101" s="98">
        <f t="shared" si="19"/>
        <v>-756.40399999999931</v>
      </c>
      <c r="P101" s="98">
        <f t="shared" si="20"/>
        <v>-340.28200000000061</v>
      </c>
      <c r="Q101" s="98">
        <v>-1096.6859999999999</v>
      </c>
      <c r="R101" s="98">
        <v>3553.4169999999999</v>
      </c>
      <c r="S101" s="98">
        <f t="shared" si="21"/>
        <v>-97.667999999999665</v>
      </c>
      <c r="T101" s="98">
        <v>2359.0630000000001</v>
      </c>
      <c r="U101" s="97">
        <f>6445.284-25+3+42</f>
        <v>6465.2839999999997</v>
      </c>
      <c r="V101" s="13">
        <v>373</v>
      </c>
      <c r="W101" s="18"/>
      <c r="X101" s="18"/>
      <c r="Y101" s="18"/>
      <c r="Z101" s="18"/>
    </row>
    <row r="102" spans="1:27" x14ac:dyDescent="0.3">
      <c r="A102" s="19" t="s">
        <v>112</v>
      </c>
      <c r="B102" s="3">
        <v>2007</v>
      </c>
      <c r="C102" s="23"/>
      <c r="D102" s="8"/>
      <c r="E102" s="11"/>
      <c r="F102" s="8"/>
      <c r="G102" s="8"/>
      <c r="H102" s="8"/>
      <c r="I102" s="8"/>
      <c r="J102" s="8">
        <f t="shared" si="15"/>
        <v>0</v>
      </c>
      <c r="K102" s="8"/>
      <c r="L102" s="8">
        <f t="shared" ref="L102:L105" si="22">+SUM(J102:K102)</f>
        <v>0</v>
      </c>
      <c r="M102" s="8"/>
      <c r="N102" s="15"/>
      <c r="O102" s="8">
        <f t="shared" ref="O102:O105" si="23">+SUM(L102:N102)</f>
        <v>0</v>
      </c>
      <c r="P102" s="8">
        <f t="shared" si="20"/>
        <v>0</v>
      </c>
      <c r="Q102" s="15"/>
      <c r="R102" s="15"/>
      <c r="S102" s="8">
        <f t="shared" ref="S102:S105" si="24">+T102-SUM(Q102:R102)</f>
        <v>0</v>
      </c>
      <c r="T102" s="15"/>
      <c r="U102" s="11"/>
      <c r="V102" s="13"/>
      <c r="W102" s="18"/>
      <c r="X102" s="105" t="s">
        <v>0</v>
      </c>
      <c r="Y102" s="104" t="s">
        <v>117</v>
      </c>
    </row>
    <row r="103" spans="1:27" x14ac:dyDescent="0.3">
      <c r="A103" s="19" t="s">
        <v>112</v>
      </c>
      <c r="B103" s="3">
        <v>2008</v>
      </c>
      <c r="C103" s="23"/>
      <c r="D103" s="8"/>
      <c r="E103" s="11"/>
      <c r="F103" s="8"/>
      <c r="G103" s="8"/>
      <c r="H103" s="8"/>
      <c r="I103" s="8"/>
      <c r="J103" s="8">
        <f t="shared" si="15"/>
        <v>0</v>
      </c>
      <c r="K103" s="8"/>
      <c r="L103" s="8">
        <f t="shared" si="22"/>
        <v>0</v>
      </c>
      <c r="M103" s="8"/>
      <c r="N103" s="15"/>
      <c r="O103" s="8">
        <f t="shared" si="23"/>
        <v>0</v>
      </c>
      <c r="P103" s="8">
        <f t="shared" si="20"/>
        <v>0</v>
      </c>
      <c r="Q103" s="15"/>
      <c r="R103" s="15"/>
      <c r="S103" s="8">
        <f t="shared" si="24"/>
        <v>0</v>
      </c>
      <c r="T103" s="15"/>
      <c r="U103" s="11"/>
      <c r="V103" s="13">
        <v>130</v>
      </c>
      <c r="W103" s="18"/>
    </row>
    <row r="104" spans="1:27" x14ac:dyDescent="0.3">
      <c r="A104" s="19" t="s">
        <v>112</v>
      </c>
      <c r="B104" s="3">
        <v>2009</v>
      </c>
      <c r="C104" s="23">
        <v>149</v>
      </c>
      <c r="D104" s="15">
        <f>5665+1215</f>
        <v>6880</v>
      </c>
      <c r="E104" s="11">
        <v>0</v>
      </c>
      <c r="F104" s="8">
        <v>-1805</v>
      </c>
      <c r="G104" s="27">
        <v>0</v>
      </c>
      <c r="H104" s="8">
        <f>-647-1008</f>
        <v>-1655</v>
      </c>
      <c r="I104" s="8">
        <v>-255</v>
      </c>
      <c r="J104" s="8">
        <f t="shared" si="15"/>
        <v>3165</v>
      </c>
      <c r="K104" s="8">
        <v>-2113</v>
      </c>
      <c r="L104" s="8">
        <f t="shared" si="22"/>
        <v>1052</v>
      </c>
      <c r="M104" s="15">
        <v>-366</v>
      </c>
      <c r="N104" s="15">
        <v>-1177</v>
      </c>
      <c r="O104" s="14">
        <f t="shared" si="23"/>
        <v>-491</v>
      </c>
      <c r="P104" s="14">
        <f t="shared" si="20"/>
        <v>1298</v>
      </c>
      <c r="Q104" s="15">
        <v>807</v>
      </c>
      <c r="R104" s="15">
        <v>2200</v>
      </c>
      <c r="S104" s="14">
        <f t="shared" si="24"/>
        <v>39</v>
      </c>
      <c r="T104" s="15">
        <v>3046</v>
      </c>
      <c r="U104" s="11">
        <f>188+74+938+1918</f>
        <v>3118</v>
      </c>
      <c r="V104" s="13">
        <v>131</v>
      </c>
      <c r="W104" s="18"/>
      <c r="X104" s="105" t="s">
        <v>75</v>
      </c>
      <c r="Y104" s="104" t="s">
        <v>102</v>
      </c>
      <c r="Z104" s="104" t="s">
        <v>103</v>
      </c>
    </row>
    <row r="105" spans="1:27" x14ac:dyDescent="0.3">
      <c r="A105" s="19" t="s">
        <v>112</v>
      </c>
      <c r="B105" s="3">
        <v>2010</v>
      </c>
      <c r="C105" s="23">
        <v>155.83333333333331</v>
      </c>
      <c r="D105" s="15">
        <f>7235+1373</f>
        <v>8608</v>
      </c>
      <c r="E105" s="11">
        <v>0</v>
      </c>
      <c r="F105" s="8">
        <v>-1924</v>
      </c>
      <c r="G105" s="27">
        <v>0</v>
      </c>
      <c r="H105" s="8">
        <f>-662-1021</f>
        <v>-1683</v>
      </c>
      <c r="I105" s="8">
        <v>-281</v>
      </c>
      <c r="J105" s="8">
        <f t="shared" si="15"/>
        <v>4720</v>
      </c>
      <c r="K105" s="8">
        <v>-2222</v>
      </c>
      <c r="L105" s="8">
        <f t="shared" si="22"/>
        <v>2498</v>
      </c>
      <c r="M105" s="15">
        <v>-366</v>
      </c>
      <c r="N105" s="15">
        <v>-1450</v>
      </c>
      <c r="O105" s="14">
        <f t="shared" si="23"/>
        <v>682</v>
      </c>
      <c r="P105" s="14">
        <f t="shared" si="20"/>
        <v>1456</v>
      </c>
      <c r="Q105" s="15">
        <v>2138</v>
      </c>
      <c r="R105" s="15">
        <v>2317</v>
      </c>
      <c r="S105" s="14">
        <f t="shared" si="24"/>
        <v>75</v>
      </c>
      <c r="T105" s="15">
        <v>4530</v>
      </c>
      <c r="U105" s="11">
        <f>1887+1015+915+2654</f>
        <v>6471</v>
      </c>
      <c r="V105" s="13">
        <v>131</v>
      </c>
      <c r="W105" s="18"/>
      <c r="X105" s="106">
        <v>2009</v>
      </c>
      <c r="Y105" s="109">
        <v>22.958840397443662</v>
      </c>
      <c r="Z105" s="109">
        <v>20.655362441546192</v>
      </c>
    </row>
    <row r="106" spans="1:27" x14ac:dyDescent="0.3">
      <c r="A106" s="19" t="s">
        <v>112</v>
      </c>
      <c r="B106" s="3">
        <v>2011</v>
      </c>
      <c r="C106" s="23">
        <v>137.66666666666666</v>
      </c>
      <c r="D106" s="8">
        <f>9224+1362</f>
        <v>10586</v>
      </c>
      <c r="E106" s="11">
        <v>0</v>
      </c>
      <c r="F106" s="8">
        <v>-1876</v>
      </c>
      <c r="G106" s="8">
        <v>-476</v>
      </c>
      <c r="H106" s="8">
        <v>-613</v>
      </c>
      <c r="I106" s="8">
        <v>-313</v>
      </c>
      <c r="J106" s="8">
        <f t="shared" si="15"/>
        <v>7308</v>
      </c>
      <c r="K106" s="8">
        <v>-2305</v>
      </c>
      <c r="L106" s="8">
        <f t="shared" si="18"/>
        <v>5003</v>
      </c>
      <c r="M106" s="15">
        <v>-396</v>
      </c>
      <c r="N106" s="15">
        <v>-1384</v>
      </c>
      <c r="O106" s="14">
        <f t="shared" si="19"/>
        <v>3223</v>
      </c>
      <c r="P106" s="14">
        <f t="shared" si="20"/>
        <v>-1547</v>
      </c>
      <c r="Q106" s="15">
        <v>1676</v>
      </c>
      <c r="R106" s="15">
        <v>2373</v>
      </c>
      <c r="S106" s="14">
        <f t="shared" si="21"/>
        <v>935</v>
      </c>
      <c r="T106" s="15">
        <v>4984</v>
      </c>
      <c r="U106" s="11">
        <f>1244+122+1325+5645</f>
        <v>8336</v>
      </c>
      <c r="V106" s="13">
        <v>136</v>
      </c>
      <c r="W106" s="18"/>
      <c r="X106" s="106">
        <v>2010</v>
      </c>
      <c r="Y106" s="109">
        <v>25.598448629150191</v>
      </c>
      <c r="Z106" s="109">
        <v>34.094331151210362</v>
      </c>
    </row>
    <row r="107" spans="1:27" x14ac:dyDescent="0.3">
      <c r="A107" s="19" t="s">
        <v>112</v>
      </c>
      <c r="B107" s="4">
        <v>2012</v>
      </c>
      <c r="C107" s="23">
        <v>150.66666666666669</v>
      </c>
      <c r="D107" s="8">
        <f>10802+1394</f>
        <v>12196</v>
      </c>
      <c r="E107" s="11">
        <v>0</v>
      </c>
      <c r="F107" s="8">
        <v>-2202</v>
      </c>
      <c r="G107" s="8">
        <v>-550</v>
      </c>
      <c r="H107" s="8">
        <v>-613</v>
      </c>
      <c r="I107" s="8">
        <v>-314</v>
      </c>
      <c r="J107" s="10">
        <f t="shared" si="15"/>
        <v>8517</v>
      </c>
      <c r="K107" s="8">
        <v>-2853</v>
      </c>
      <c r="L107" s="8">
        <f t="shared" si="18"/>
        <v>5664</v>
      </c>
      <c r="M107" s="15">
        <v>-447</v>
      </c>
      <c r="N107" s="15">
        <v>-1822</v>
      </c>
      <c r="O107" s="14">
        <f t="shared" si="19"/>
        <v>3395</v>
      </c>
      <c r="P107" s="14">
        <f t="shared" si="20"/>
        <v>-1332</v>
      </c>
      <c r="Q107" s="15">
        <v>2063</v>
      </c>
      <c r="R107" s="15">
        <v>2922</v>
      </c>
      <c r="S107" s="14">
        <f t="shared" si="21"/>
        <v>675</v>
      </c>
      <c r="T107" s="15">
        <v>5660</v>
      </c>
      <c r="U107" s="11">
        <f>267+1089+7505</f>
        <v>8861</v>
      </c>
      <c r="V107" s="13">
        <v>171</v>
      </c>
      <c r="W107" s="18"/>
      <c r="X107" s="106">
        <v>2011</v>
      </c>
      <c r="Y107" s="109">
        <v>29.077812914930611</v>
      </c>
      <c r="Z107" s="109">
        <v>35.719384213667517</v>
      </c>
    </row>
    <row r="108" spans="1:27" x14ac:dyDescent="0.3">
      <c r="A108" s="19" t="s">
        <v>112</v>
      </c>
      <c r="B108" s="3">
        <v>2013</v>
      </c>
      <c r="C108" s="23">
        <v>124.66666666666667</v>
      </c>
      <c r="D108" s="8">
        <f>10455+1394</f>
        <v>11849</v>
      </c>
      <c r="E108" s="11">
        <v>0</v>
      </c>
      <c r="F108" s="8">
        <v>-1996</v>
      </c>
      <c r="G108" s="8">
        <v>-372</v>
      </c>
      <c r="H108" s="8">
        <v>-1031</v>
      </c>
      <c r="I108" s="8">
        <v>-362</v>
      </c>
      <c r="J108" s="8">
        <f t="shared" si="15"/>
        <v>8088</v>
      </c>
      <c r="K108" s="8">
        <v>-2671</v>
      </c>
      <c r="L108" s="8">
        <f t="shared" si="18"/>
        <v>5417</v>
      </c>
      <c r="M108" s="15">
        <v>-466</v>
      </c>
      <c r="N108" s="15">
        <v>-1353</v>
      </c>
      <c r="O108" s="15">
        <f t="shared" si="19"/>
        <v>3598</v>
      </c>
      <c r="P108" s="15">
        <f t="shared" si="20"/>
        <v>1624</v>
      </c>
      <c r="Q108" s="15">
        <v>5222</v>
      </c>
      <c r="R108" s="15">
        <v>2487</v>
      </c>
      <c r="S108" s="14">
        <f t="shared" si="21"/>
        <v>-2611</v>
      </c>
      <c r="T108" s="15">
        <v>5098</v>
      </c>
      <c r="U108" s="11">
        <f>56+1044+5666</f>
        <v>6766</v>
      </c>
      <c r="V108" s="13">
        <v>235</v>
      </c>
      <c r="W108" s="18"/>
      <c r="X108" s="106">
        <v>2012</v>
      </c>
      <c r="Y108" s="109">
        <v>24.940033757028505</v>
      </c>
      <c r="Z108" s="109">
        <v>35.912774879455689</v>
      </c>
    </row>
    <row r="109" spans="1:27" x14ac:dyDescent="0.3">
      <c r="A109" s="19" t="s">
        <v>112</v>
      </c>
      <c r="B109" s="3">
        <v>2014</v>
      </c>
      <c r="C109" s="23">
        <v>121.83333333333333</v>
      </c>
      <c r="D109" s="8">
        <f>9455+1247</f>
        <v>10702</v>
      </c>
      <c r="E109" s="11">
        <v>0</v>
      </c>
      <c r="F109" s="8">
        <v>-1815</v>
      </c>
      <c r="G109" s="8">
        <v>-275</v>
      </c>
      <c r="H109" s="8">
        <v>-840</v>
      </c>
      <c r="I109" s="8">
        <f>-325-212</f>
        <v>-537</v>
      </c>
      <c r="J109" s="8">
        <f t="shared" si="15"/>
        <v>7235</v>
      </c>
      <c r="K109" s="8">
        <v>-3140</v>
      </c>
      <c r="L109" s="8">
        <f t="shared" si="18"/>
        <v>4095</v>
      </c>
      <c r="M109" s="15">
        <v>-397</v>
      </c>
      <c r="N109" s="15">
        <v>-455</v>
      </c>
      <c r="O109" s="15">
        <f t="shared" si="19"/>
        <v>3243</v>
      </c>
      <c r="P109" s="15">
        <f t="shared" si="20"/>
        <v>-869</v>
      </c>
      <c r="Q109" s="15">
        <v>2374</v>
      </c>
      <c r="R109" s="15">
        <v>3224</v>
      </c>
      <c r="S109" s="15">
        <f t="shared" si="21"/>
        <v>-1141</v>
      </c>
      <c r="T109" s="15">
        <v>4457</v>
      </c>
      <c r="U109" s="11">
        <f>88+763+4727</f>
        <v>5578</v>
      </c>
      <c r="V109" s="13">
        <v>303</v>
      </c>
      <c r="W109" s="18"/>
      <c r="X109" s="106">
        <v>2013</v>
      </c>
      <c r="Y109" s="109">
        <v>27.871110560110743</v>
      </c>
      <c r="Z109" s="109">
        <v>30.380259581667879</v>
      </c>
    </row>
    <row r="110" spans="1:27" x14ac:dyDescent="0.3">
      <c r="A110" s="19" t="s">
        <v>112</v>
      </c>
      <c r="B110" s="3">
        <v>2015</v>
      </c>
      <c r="C110" s="23">
        <v>139</v>
      </c>
      <c r="D110" s="8">
        <f>5503+1051</f>
        <v>6554</v>
      </c>
      <c r="E110" s="11">
        <v>0</v>
      </c>
      <c r="F110" s="8">
        <v>-1764</v>
      </c>
      <c r="G110" s="8">
        <v>-146</v>
      </c>
      <c r="H110" s="8">
        <v>-881</v>
      </c>
      <c r="I110" s="8">
        <f>-317-449</f>
        <v>-766</v>
      </c>
      <c r="J110" s="8">
        <f t="shared" si="15"/>
        <v>2997</v>
      </c>
      <c r="K110" s="8">
        <v>-3852</v>
      </c>
      <c r="L110" s="8">
        <f t="shared" si="18"/>
        <v>-855</v>
      </c>
      <c r="M110" s="8">
        <v>-376</v>
      </c>
      <c r="N110" s="15">
        <v>-140</v>
      </c>
      <c r="O110" s="15">
        <f t="shared" si="19"/>
        <v>-1371</v>
      </c>
      <c r="P110" s="15">
        <f t="shared" si="20"/>
        <v>-1636</v>
      </c>
      <c r="Q110" s="15">
        <v>-3007</v>
      </c>
      <c r="R110" s="15">
        <v>3955</v>
      </c>
      <c r="S110" s="15">
        <f t="shared" si="21"/>
        <v>1033</v>
      </c>
      <c r="T110" s="15">
        <v>1981</v>
      </c>
      <c r="U110" s="11">
        <f>22+622+3549</f>
        <v>4193</v>
      </c>
      <c r="V110" s="13">
        <v>287</v>
      </c>
      <c r="X110" s="106">
        <v>2014</v>
      </c>
      <c r="Y110" s="109">
        <v>29.091544228044082</v>
      </c>
      <c r="Z110" s="109">
        <v>41.247249242911025</v>
      </c>
    </row>
    <row r="111" spans="1:27" x14ac:dyDescent="0.3">
      <c r="A111" s="21" t="s">
        <v>112</v>
      </c>
      <c r="B111" s="94">
        <v>2016</v>
      </c>
      <c r="C111" s="95">
        <v>120</v>
      </c>
      <c r="D111" s="96">
        <f>3639+264+766</f>
        <v>4669</v>
      </c>
      <c r="E111" s="97">
        <v>0</v>
      </c>
      <c r="F111" s="96">
        <v>-1697</v>
      </c>
      <c r="G111" s="96">
        <v>-101</v>
      </c>
      <c r="H111" s="96">
        <v>-1442</v>
      </c>
      <c r="I111" s="96">
        <f>-235-478</f>
        <v>-713</v>
      </c>
      <c r="J111" s="96">
        <f t="shared" si="15"/>
        <v>716</v>
      </c>
      <c r="K111" s="96">
        <v>-3132</v>
      </c>
      <c r="L111" s="96">
        <f t="shared" si="18"/>
        <v>-2416</v>
      </c>
      <c r="M111" s="96">
        <v>-380</v>
      </c>
      <c r="N111" s="98">
        <v>132</v>
      </c>
      <c r="O111" s="98">
        <f t="shared" si="19"/>
        <v>-2664</v>
      </c>
      <c r="P111" s="98">
        <f t="shared" si="20"/>
        <v>-3412</v>
      </c>
      <c r="Q111" s="98">
        <v>-6076</v>
      </c>
      <c r="R111" s="98">
        <v>3244</v>
      </c>
      <c r="S111" s="98">
        <f t="shared" si="21"/>
        <v>3627</v>
      </c>
      <c r="T111" s="98">
        <v>795</v>
      </c>
      <c r="U111" s="113">
        <f>11+491+1188</f>
        <v>1690</v>
      </c>
      <c r="V111" s="13">
        <v>350</v>
      </c>
      <c r="W111" s="18"/>
      <c r="X111" s="106">
        <v>2015</v>
      </c>
      <c r="Y111" s="109">
        <v>11.263839327337228</v>
      </c>
      <c r="Z111" s="109">
        <v>19.277003969728099</v>
      </c>
    </row>
    <row r="112" spans="1:27" x14ac:dyDescent="0.3">
      <c r="A112" s="19" t="s">
        <v>94</v>
      </c>
      <c r="B112" s="3">
        <v>2007</v>
      </c>
      <c r="C112" s="23"/>
      <c r="D112" s="8"/>
      <c r="E112" s="9"/>
      <c r="F112" s="8"/>
      <c r="G112" s="8"/>
      <c r="H112" s="8"/>
      <c r="I112" s="8"/>
      <c r="J112" s="8">
        <f t="shared" si="15"/>
        <v>0</v>
      </c>
      <c r="K112" s="8"/>
      <c r="L112" s="8">
        <f t="shared" ref="L112:L115" si="25">+SUM(J112:K112)</f>
        <v>0</v>
      </c>
      <c r="M112" s="8"/>
      <c r="N112" s="8"/>
      <c r="O112" s="8">
        <f t="shared" ref="O112:O115" si="26">+SUM(L112:N112)</f>
        <v>0</v>
      </c>
      <c r="P112" s="8">
        <f t="shared" si="20"/>
        <v>0</v>
      </c>
      <c r="Q112" s="8"/>
      <c r="R112" s="8"/>
      <c r="S112" s="8">
        <f t="shared" ref="S112:S115" si="27">+T112-SUM(Q112:R112)</f>
        <v>0</v>
      </c>
      <c r="T112" s="8"/>
      <c r="U112" s="9"/>
      <c r="V112" s="13"/>
      <c r="W112" s="8"/>
      <c r="X112" s="106">
        <v>2016</v>
      </c>
      <c r="Y112" s="109">
        <v>8.190443921165885</v>
      </c>
      <c r="Z112" s="109">
        <v>14.513077587012416</v>
      </c>
    </row>
    <row r="113" spans="1:26" x14ac:dyDescent="0.3">
      <c r="A113" s="19" t="s">
        <v>94</v>
      </c>
      <c r="B113" s="3">
        <v>2008</v>
      </c>
      <c r="C113" s="23"/>
      <c r="D113" s="8"/>
      <c r="E113" s="9"/>
      <c r="F113" s="8"/>
      <c r="G113" s="8"/>
      <c r="H113" s="8"/>
      <c r="I113" s="8"/>
      <c r="J113" s="8">
        <f t="shared" si="15"/>
        <v>0</v>
      </c>
      <c r="K113" s="8"/>
      <c r="L113" s="8">
        <f t="shared" si="25"/>
        <v>0</v>
      </c>
      <c r="M113" s="8"/>
      <c r="N113" s="8"/>
      <c r="O113" s="8">
        <f t="shared" si="26"/>
        <v>0</v>
      </c>
      <c r="P113" s="8">
        <f t="shared" si="20"/>
        <v>0</v>
      </c>
      <c r="Q113" s="8"/>
      <c r="R113" s="8"/>
      <c r="S113" s="8">
        <f t="shared" si="27"/>
        <v>0</v>
      </c>
      <c r="T113" s="8"/>
      <c r="U113" s="9"/>
      <c r="V113" s="13">
        <v>681</v>
      </c>
      <c r="W113" s="8"/>
      <c r="X113" s="106" t="s">
        <v>76</v>
      </c>
      <c r="Y113" s="109">
        <v>22.18046330770402</v>
      </c>
      <c r="Z113" s="109">
        <v>28.901920099717696</v>
      </c>
    </row>
    <row r="114" spans="1:26" x14ac:dyDescent="0.3">
      <c r="A114" s="19" t="s">
        <v>94</v>
      </c>
      <c r="B114" s="3">
        <v>2009</v>
      </c>
      <c r="C114" s="23">
        <v>149</v>
      </c>
      <c r="D114" s="8">
        <v>4306</v>
      </c>
      <c r="E114" s="83">
        <f>8465-D114</f>
        <v>4159</v>
      </c>
      <c r="F114" s="8">
        <f>-1593-101</f>
        <v>-1694</v>
      </c>
      <c r="G114" s="8">
        <v>0</v>
      </c>
      <c r="H114" s="8">
        <v>-307</v>
      </c>
      <c r="I114" s="84">
        <v>-451</v>
      </c>
      <c r="J114" s="8">
        <f t="shared" si="15"/>
        <v>6013</v>
      </c>
      <c r="K114" s="8">
        <v>-1860</v>
      </c>
      <c r="L114" s="8">
        <f t="shared" si="25"/>
        <v>4153</v>
      </c>
      <c r="M114" s="8">
        <v>-262</v>
      </c>
      <c r="N114" s="14">
        <v>-1663</v>
      </c>
      <c r="O114" s="14">
        <f t="shared" si="26"/>
        <v>2228</v>
      </c>
      <c r="P114" s="14">
        <f t="shared" si="20"/>
        <v>-765</v>
      </c>
      <c r="Q114" s="14">
        <v>1463</v>
      </c>
      <c r="R114" s="14">
        <v>1934</v>
      </c>
      <c r="S114" s="14">
        <f t="shared" si="27"/>
        <v>1871</v>
      </c>
      <c r="T114" s="14">
        <v>5268</v>
      </c>
      <c r="U114" s="9">
        <v>3514</v>
      </c>
      <c r="V114" s="13">
        <v>679</v>
      </c>
      <c r="W114" s="8"/>
      <c r="Z114" s="18"/>
    </row>
    <row r="115" spans="1:26" x14ac:dyDescent="0.3">
      <c r="A115" s="19" t="s">
        <v>94</v>
      </c>
      <c r="B115" s="3">
        <v>2010</v>
      </c>
      <c r="C115" s="23">
        <v>150</v>
      </c>
      <c r="D115" s="8">
        <v>5302</v>
      </c>
      <c r="E115" s="83">
        <f>11634-D115</f>
        <v>6332</v>
      </c>
      <c r="F115" s="8">
        <f>-1886-90</f>
        <v>-1976</v>
      </c>
      <c r="G115" s="8">
        <v>0</v>
      </c>
      <c r="H115" s="8">
        <v>-498</v>
      </c>
      <c r="I115" s="84">
        <v>-491</v>
      </c>
      <c r="J115" s="8">
        <f t="shared" si="15"/>
        <v>8669</v>
      </c>
      <c r="K115" s="8">
        <v>-2405</v>
      </c>
      <c r="L115" s="8">
        <f t="shared" si="25"/>
        <v>6264</v>
      </c>
      <c r="M115" s="8">
        <v>-375</v>
      </c>
      <c r="N115" s="14">
        <v>-2155</v>
      </c>
      <c r="O115" s="14">
        <f t="shared" si="26"/>
        <v>3734</v>
      </c>
      <c r="P115" s="14">
        <f t="shared" si="20"/>
        <v>-1166</v>
      </c>
      <c r="Q115" s="14">
        <v>2568</v>
      </c>
      <c r="R115" s="81">
        <v>2056</v>
      </c>
      <c r="S115" s="14">
        <f t="shared" si="27"/>
        <v>1246</v>
      </c>
      <c r="T115" s="14">
        <v>5870</v>
      </c>
      <c r="U115" s="9">
        <v>3812</v>
      </c>
      <c r="V115" s="13">
        <v>704</v>
      </c>
      <c r="W115" s="10"/>
      <c r="X115" s="18"/>
      <c r="Z115" s="18"/>
    </row>
    <row r="116" spans="1:26" x14ac:dyDescent="0.3">
      <c r="A116" s="19" t="s">
        <v>94</v>
      </c>
      <c r="B116" s="3">
        <v>2011</v>
      </c>
      <c r="C116" s="23">
        <v>145</v>
      </c>
      <c r="D116" s="8">
        <v>5635</v>
      </c>
      <c r="E116" s="11">
        <v>3919</v>
      </c>
      <c r="F116" s="8">
        <f>-2297-221</f>
        <v>-2518</v>
      </c>
      <c r="G116" s="8">
        <v>0</v>
      </c>
      <c r="H116" s="8">
        <v>-641</v>
      </c>
      <c r="I116" s="8">
        <f>-3898-663</f>
        <v>-4561</v>
      </c>
      <c r="J116" s="8">
        <f t="shared" si="15"/>
        <v>1834</v>
      </c>
      <c r="K116" s="8">
        <v>-2465</v>
      </c>
      <c r="L116" s="8">
        <f t="shared" si="18"/>
        <v>-631</v>
      </c>
      <c r="M116" s="8">
        <v>-228</v>
      </c>
      <c r="N116" s="14">
        <v>-2893</v>
      </c>
      <c r="O116" s="14">
        <f t="shared" si="19"/>
        <v>-3752</v>
      </c>
      <c r="P116" s="14">
        <f t="shared" si="20"/>
        <v>6698</v>
      </c>
      <c r="Q116" s="14">
        <v>2946</v>
      </c>
      <c r="R116" s="81">
        <v>2263</v>
      </c>
      <c r="S116" s="14">
        <f t="shared" si="21"/>
        <v>1315</v>
      </c>
      <c r="T116" s="14">
        <v>6524</v>
      </c>
      <c r="U116" s="9">
        <v>7140</v>
      </c>
      <c r="V116" s="13">
        <v>567</v>
      </c>
      <c r="W116" s="8"/>
    </row>
    <row r="117" spans="1:26" x14ac:dyDescent="0.3">
      <c r="A117" s="20" t="s">
        <v>94</v>
      </c>
      <c r="B117" s="4">
        <v>2012</v>
      </c>
      <c r="C117" s="24">
        <v>172</v>
      </c>
      <c r="D117" s="10">
        <v>8004</v>
      </c>
      <c r="E117" s="11">
        <v>2729</v>
      </c>
      <c r="F117" s="10">
        <f>-2477-262</f>
        <v>-2739</v>
      </c>
      <c r="G117" s="10">
        <v>0</v>
      </c>
      <c r="H117" s="10">
        <v>-706</v>
      </c>
      <c r="I117" s="10">
        <f>-2744-699</f>
        <v>-3443</v>
      </c>
      <c r="J117" s="10">
        <f t="shared" si="15"/>
        <v>3845</v>
      </c>
      <c r="K117" s="10">
        <v>-2762</v>
      </c>
      <c r="L117" s="8">
        <f t="shared" si="18"/>
        <v>1083</v>
      </c>
      <c r="M117" s="8">
        <v>-244</v>
      </c>
      <c r="N117" s="14">
        <v>-4974</v>
      </c>
      <c r="O117" s="14">
        <f t="shared" si="19"/>
        <v>-4135</v>
      </c>
      <c r="P117" s="14">
        <f t="shared" si="20"/>
        <v>5717</v>
      </c>
      <c r="Q117" s="14">
        <v>1582</v>
      </c>
      <c r="R117" s="81">
        <v>2477</v>
      </c>
      <c r="S117" s="14">
        <f t="shared" si="21"/>
        <v>-42</v>
      </c>
      <c r="T117" s="14">
        <v>4017</v>
      </c>
      <c r="U117" s="9">
        <v>6647</v>
      </c>
      <c r="V117" s="13">
        <v>480</v>
      </c>
      <c r="W117" s="8"/>
    </row>
    <row r="118" spans="1:26" x14ac:dyDescent="0.3">
      <c r="A118" s="19" t="s">
        <v>94</v>
      </c>
      <c r="B118" s="3">
        <v>2013</v>
      </c>
      <c r="C118" s="23">
        <v>177</v>
      </c>
      <c r="D118" s="15">
        <v>8860</v>
      </c>
      <c r="E118" s="11">
        <v>2079</v>
      </c>
      <c r="F118" s="8">
        <f>-2915-308</f>
        <v>-3223</v>
      </c>
      <c r="G118" s="8">
        <v>0</v>
      </c>
      <c r="H118" s="8">
        <v>-998</v>
      </c>
      <c r="I118" s="8">
        <f>-2076-659</f>
        <v>-2735</v>
      </c>
      <c r="J118" s="8">
        <f t="shared" si="15"/>
        <v>3983</v>
      </c>
      <c r="K118" s="8">
        <v>-2819</v>
      </c>
      <c r="L118" s="8">
        <f t="shared" si="18"/>
        <v>1164</v>
      </c>
      <c r="M118" s="8">
        <v>-319</v>
      </c>
      <c r="N118" s="15">
        <v>-3904</v>
      </c>
      <c r="O118" s="15">
        <f t="shared" si="19"/>
        <v>-3059</v>
      </c>
      <c r="P118" s="15">
        <f t="shared" si="20"/>
        <v>4812</v>
      </c>
      <c r="Q118" s="14">
        <v>1753</v>
      </c>
      <c r="R118" s="81">
        <v>2500</v>
      </c>
      <c r="S118" s="14">
        <f t="shared" si="21"/>
        <v>1017</v>
      </c>
      <c r="T118" s="14">
        <v>5270</v>
      </c>
      <c r="U118" s="11">
        <v>5451</v>
      </c>
      <c r="V118" s="13">
        <v>508</v>
      </c>
      <c r="W118" s="18"/>
    </row>
    <row r="119" spans="1:26" x14ac:dyDescent="0.3">
      <c r="A119" s="19" t="s">
        <v>94</v>
      </c>
      <c r="B119" s="3">
        <v>2014</v>
      </c>
      <c r="C119" s="23">
        <v>167</v>
      </c>
      <c r="D119" s="15">
        <v>7896</v>
      </c>
      <c r="E119" s="9">
        <v>2110</v>
      </c>
      <c r="F119" s="8">
        <f>-3014-281</f>
        <v>-3295</v>
      </c>
      <c r="G119" s="8">
        <v>0</v>
      </c>
      <c r="H119" s="8">
        <v>-798</v>
      </c>
      <c r="I119" s="8">
        <f>-2105-654</f>
        <v>-2759</v>
      </c>
      <c r="J119" s="8">
        <f t="shared" si="15"/>
        <v>3154</v>
      </c>
      <c r="K119" s="8">
        <v>-3002</v>
      </c>
      <c r="L119" s="8">
        <f t="shared" si="18"/>
        <v>152</v>
      </c>
      <c r="M119" s="8">
        <v>-309</v>
      </c>
      <c r="N119" s="15">
        <v>-1679</v>
      </c>
      <c r="O119" s="15">
        <f t="shared" si="19"/>
        <v>-1836</v>
      </c>
      <c r="P119" s="15">
        <f t="shared" si="20"/>
        <v>4882</v>
      </c>
      <c r="Q119" s="15">
        <v>3046</v>
      </c>
      <c r="R119" s="82">
        <v>2861</v>
      </c>
      <c r="S119" s="15">
        <f t="shared" si="21"/>
        <v>-420</v>
      </c>
      <c r="T119" s="15">
        <v>5487</v>
      </c>
      <c r="U119" s="11">
        <v>6105</v>
      </c>
      <c r="V119" s="13">
        <v>543</v>
      </c>
      <c r="W119" s="18"/>
    </row>
    <row r="120" spans="1:26" x14ac:dyDescent="0.3">
      <c r="A120" s="19" t="s">
        <v>94</v>
      </c>
      <c r="B120" s="3">
        <v>2015</v>
      </c>
      <c r="C120" s="23">
        <v>157</v>
      </c>
      <c r="D120" s="8">
        <v>4443</v>
      </c>
      <c r="E120" s="11">
        <v>571</v>
      </c>
      <c r="F120" s="8">
        <f>-2211-60</f>
        <v>-2271</v>
      </c>
      <c r="G120" s="8">
        <v>0</v>
      </c>
      <c r="H120" s="8">
        <v>-1318</v>
      </c>
      <c r="I120" s="8">
        <f>-569-590</f>
        <v>-1159</v>
      </c>
      <c r="J120" s="8">
        <f t="shared" si="15"/>
        <v>266</v>
      </c>
      <c r="K120" s="8">
        <v>-3284</v>
      </c>
      <c r="L120" s="8">
        <f t="shared" si="18"/>
        <v>-3018</v>
      </c>
      <c r="M120" s="8">
        <v>-358</v>
      </c>
      <c r="N120" s="15">
        <v>-171</v>
      </c>
      <c r="O120" s="15">
        <f t="shared" si="19"/>
        <v>-3547</v>
      </c>
      <c r="P120" s="15">
        <f t="shared" si="20"/>
        <v>1343</v>
      </c>
      <c r="Q120" s="15">
        <v>-2204</v>
      </c>
      <c r="R120" s="15">
        <v>2957</v>
      </c>
      <c r="S120" s="15">
        <f t="shared" si="21"/>
        <v>812</v>
      </c>
      <c r="T120" s="15">
        <v>1565</v>
      </c>
      <c r="U120" s="11">
        <v>2845</v>
      </c>
      <c r="V120" s="13">
        <v>460</v>
      </c>
      <c r="W120" s="18"/>
    </row>
    <row r="121" spans="1:26" x14ac:dyDescent="0.3">
      <c r="A121" s="21" t="s">
        <v>94</v>
      </c>
      <c r="B121" s="94">
        <v>2016</v>
      </c>
      <c r="C121" s="95">
        <v>144</v>
      </c>
      <c r="D121" s="96">
        <v>3306</v>
      </c>
      <c r="E121" s="97">
        <v>278</v>
      </c>
      <c r="F121" s="96">
        <f>-1753-31</f>
        <v>-1784</v>
      </c>
      <c r="G121" s="96">
        <v>0</v>
      </c>
      <c r="H121" s="96">
        <v>-330</v>
      </c>
      <c r="I121" s="96">
        <f>-282-484</f>
        <v>-766</v>
      </c>
      <c r="J121" s="96">
        <f t="shared" si="15"/>
        <v>704</v>
      </c>
      <c r="K121" s="96">
        <v>-2393</v>
      </c>
      <c r="L121" s="96">
        <f t="shared" si="18"/>
        <v>-1689</v>
      </c>
      <c r="M121" s="96">
        <v>-402</v>
      </c>
      <c r="N121" s="98">
        <v>-84</v>
      </c>
      <c r="O121" s="98">
        <f t="shared" si="19"/>
        <v>-2175</v>
      </c>
      <c r="P121" s="98">
        <f t="shared" si="20"/>
        <v>35</v>
      </c>
      <c r="Q121" s="98">
        <v>-2140</v>
      </c>
      <c r="R121" s="98">
        <v>2395</v>
      </c>
      <c r="S121" s="98">
        <f t="shared" si="21"/>
        <v>818</v>
      </c>
      <c r="T121" s="98">
        <v>1073</v>
      </c>
      <c r="U121" s="97">
        <v>2113</v>
      </c>
      <c r="V121" s="13">
        <v>162</v>
      </c>
      <c r="W121" s="18"/>
    </row>
    <row r="122" spans="1:26" x14ac:dyDescent="0.3">
      <c r="A122" s="19" t="s">
        <v>17</v>
      </c>
      <c r="B122" s="3">
        <v>2007</v>
      </c>
      <c r="C122" s="23">
        <v>207.5</v>
      </c>
      <c r="D122" s="8"/>
      <c r="E122" s="11"/>
      <c r="F122" s="8">
        <v>0</v>
      </c>
      <c r="G122" s="8">
        <v>0</v>
      </c>
      <c r="H122" s="8">
        <v>0</v>
      </c>
      <c r="I122" s="8">
        <v>0</v>
      </c>
      <c r="J122" s="8">
        <f t="shared" si="15"/>
        <v>0</v>
      </c>
      <c r="K122" s="8"/>
      <c r="L122" s="8">
        <f t="shared" si="18"/>
        <v>0</v>
      </c>
      <c r="M122" s="8">
        <v>0</v>
      </c>
      <c r="N122" s="8">
        <v>0</v>
      </c>
      <c r="O122" s="8">
        <f t="shared" si="19"/>
        <v>0</v>
      </c>
      <c r="P122" s="8">
        <f t="shared" si="20"/>
        <v>0</v>
      </c>
      <c r="Q122" s="8"/>
      <c r="R122" s="8">
        <v>0</v>
      </c>
      <c r="S122" s="8">
        <f t="shared" si="21"/>
        <v>0</v>
      </c>
      <c r="T122" s="8"/>
      <c r="U122" s="9"/>
      <c r="V122" s="13"/>
      <c r="W122" s="18"/>
    </row>
    <row r="123" spans="1:26" x14ac:dyDescent="0.3">
      <c r="A123" s="19" t="s">
        <v>17</v>
      </c>
      <c r="B123" s="3">
        <v>2008</v>
      </c>
      <c r="C123" s="23">
        <v>222.16666666666669</v>
      </c>
      <c r="D123" s="8"/>
      <c r="E123" s="11"/>
      <c r="F123" s="8">
        <v>0</v>
      </c>
      <c r="G123" s="8">
        <v>0</v>
      </c>
      <c r="H123" s="8">
        <v>0</v>
      </c>
      <c r="I123" s="8">
        <v>0</v>
      </c>
      <c r="J123" s="8">
        <f t="shared" si="15"/>
        <v>0</v>
      </c>
      <c r="K123" s="8"/>
      <c r="L123" s="8">
        <f t="shared" si="18"/>
        <v>0</v>
      </c>
      <c r="M123" s="8">
        <v>0</v>
      </c>
      <c r="N123" s="8">
        <v>0</v>
      </c>
      <c r="O123" s="8">
        <f t="shared" si="19"/>
        <v>0</v>
      </c>
      <c r="P123" s="8">
        <f t="shared" si="20"/>
        <v>0</v>
      </c>
      <c r="Q123" s="8"/>
      <c r="R123" s="8">
        <v>0</v>
      </c>
      <c r="S123" s="8">
        <f t="shared" si="21"/>
        <v>0</v>
      </c>
      <c r="T123" s="8"/>
      <c r="U123" s="9"/>
      <c r="V123" s="13">
        <v>940</v>
      </c>
      <c r="W123" s="18"/>
    </row>
    <row r="124" spans="1:26" x14ac:dyDescent="0.3">
      <c r="A124" s="19" t="s">
        <v>17</v>
      </c>
      <c r="B124" s="3">
        <v>2009</v>
      </c>
      <c r="C124" s="23">
        <v>224.33333333333331</v>
      </c>
      <c r="D124" s="8">
        <v>11009</v>
      </c>
      <c r="E124" s="8">
        <v>1016</v>
      </c>
      <c r="F124" s="8">
        <f>-2214-628</f>
        <v>-2842</v>
      </c>
      <c r="G124" s="8">
        <v>-413</v>
      </c>
      <c r="H124" s="8">
        <v>-254</v>
      </c>
      <c r="I124" s="8">
        <v>-1300</v>
      </c>
      <c r="J124" s="8">
        <f t="shared" si="15"/>
        <v>7216</v>
      </c>
      <c r="K124" s="8">
        <v>-2258</v>
      </c>
      <c r="L124" s="8">
        <f t="shared" si="18"/>
        <v>4958</v>
      </c>
      <c r="M124" s="27">
        <v>-164</v>
      </c>
      <c r="N124" s="14">
        <v>-1400</v>
      </c>
      <c r="O124" s="14">
        <f t="shared" si="19"/>
        <v>3394</v>
      </c>
      <c r="P124" s="14">
        <f t="shared" si="20"/>
        <v>-428</v>
      </c>
      <c r="Q124" s="14">
        <v>2966</v>
      </c>
      <c r="R124" s="14">
        <v>2258</v>
      </c>
      <c r="S124" s="14">
        <f t="shared" si="21"/>
        <v>632</v>
      </c>
      <c r="T124" s="14">
        <v>5856</v>
      </c>
      <c r="U124" s="9">
        <v>3463</v>
      </c>
      <c r="V124" s="13">
        <v>1063</v>
      </c>
      <c r="W124" s="18"/>
    </row>
    <row r="125" spans="1:26" x14ac:dyDescent="0.3">
      <c r="A125" s="19" t="s">
        <v>17</v>
      </c>
      <c r="B125" s="3">
        <v>2010</v>
      </c>
      <c r="C125" s="23">
        <v>258.83333333333331</v>
      </c>
      <c r="D125" s="8">
        <v>14276</v>
      </c>
      <c r="E125" s="8">
        <v>1471</v>
      </c>
      <c r="F125" s="8">
        <f>-2622-655</f>
        <v>-3277</v>
      </c>
      <c r="G125" s="8">
        <v>-472</v>
      </c>
      <c r="H125" s="8">
        <v>-262</v>
      </c>
      <c r="I125" s="8">
        <v>-1396</v>
      </c>
      <c r="J125" s="8">
        <f t="shared" si="15"/>
        <v>10340</v>
      </c>
      <c r="K125" s="8">
        <v>-2668</v>
      </c>
      <c r="L125" s="8">
        <f t="shared" si="18"/>
        <v>7672</v>
      </c>
      <c r="M125" s="27">
        <v>-161</v>
      </c>
      <c r="N125" s="14">
        <v>-2400</v>
      </c>
      <c r="O125" s="14">
        <f t="shared" si="19"/>
        <v>5111</v>
      </c>
      <c r="P125" s="14">
        <f t="shared" si="20"/>
        <v>-509</v>
      </c>
      <c r="Q125" s="14">
        <v>4602</v>
      </c>
      <c r="R125" s="14">
        <v>2668</v>
      </c>
      <c r="S125" s="14">
        <f t="shared" si="21"/>
        <v>2086</v>
      </c>
      <c r="T125" s="14">
        <v>9356</v>
      </c>
      <c r="U125" s="9">
        <v>7836</v>
      </c>
      <c r="V125" s="13">
        <v>1159</v>
      </c>
      <c r="W125" s="18"/>
    </row>
    <row r="126" spans="1:26" x14ac:dyDescent="0.3">
      <c r="A126" s="19" t="s">
        <v>17</v>
      </c>
      <c r="B126" s="3">
        <v>2011</v>
      </c>
      <c r="C126" s="23">
        <v>267.5</v>
      </c>
      <c r="D126" s="8">
        <v>18419</v>
      </c>
      <c r="E126" s="8">
        <v>1447</v>
      </c>
      <c r="F126" s="8">
        <f>-3428-838</f>
        <v>-4266</v>
      </c>
      <c r="G126" s="8">
        <v>-590</v>
      </c>
      <c r="H126" s="8">
        <v>-258</v>
      </c>
      <c r="I126" s="8">
        <v>-1523</v>
      </c>
      <c r="J126" s="8">
        <f t="shared" si="15"/>
        <v>13229</v>
      </c>
      <c r="K126" s="8">
        <v>-3064</v>
      </c>
      <c r="L126" s="8">
        <f t="shared" si="18"/>
        <v>10165</v>
      </c>
      <c r="M126" s="27">
        <v>-315</v>
      </c>
      <c r="N126" s="14">
        <v>-2900</v>
      </c>
      <c r="O126" s="14">
        <f t="shared" si="19"/>
        <v>6950</v>
      </c>
      <c r="P126" s="14">
        <f t="shared" si="20"/>
        <v>-179</v>
      </c>
      <c r="Q126" s="14">
        <v>6771</v>
      </c>
      <c r="R126" s="14">
        <v>3064</v>
      </c>
      <c r="S126" s="14">
        <f t="shared" si="21"/>
        <v>2471</v>
      </c>
      <c r="T126" s="14">
        <v>12306</v>
      </c>
      <c r="U126" s="9">
        <v>10857</v>
      </c>
      <c r="V126" s="13">
        <v>1436</v>
      </c>
      <c r="W126" s="18"/>
    </row>
    <row r="127" spans="1:26" x14ac:dyDescent="0.3">
      <c r="A127" s="20" t="s">
        <v>17</v>
      </c>
      <c r="B127" s="4">
        <v>2012</v>
      </c>
      <c r="C127" s="24">
        <v>279.33333333333331</v>
      </c>
      <c r="D127" s="10">
        <v>14997</v>
      </c>
      <c r="E127" s="10">
        <v>1164</v>
      </c>
      <c r="F127" s="10">
        <f>-2936-765</f>
        <v>-3701</v>
      </c>
      <c r="G127" s="10">
        <v>-504</v>
      </c>
      <c r="H127" s="10">
        <v>-197</v>
      </c>
      <c r="I127" s="10">
        <v>-1366</v>
      </c>
      <c r="J127" s="10">
        <f t="shared" si="15"/>
        <v>10393</v>
      </c>
      <c r="K127" s="10">
        <v>-3065</v>
      </c>
      <c r="L127" s="8">
        <f t="shared" si="18"/>
        <v>7328</v>
      </c>
      <c r="M127" s="27">
        <v>-190</v>
      </c>
      <c r="N127" s="14">
        <v>-2300</v>
      </c>
      <c r="O127" s="14">
        <f t="shared" si="19"/>
        <v>4838</v>
      </c>
      <c r="P127" s="14">
        <f t="shared" si="20"/>
        <v>-240</v>
      </c>
      <c r="Q127" s="14">
        <v>4598</v>
      </c>
      <c r="R127" s="14">
        <v>3065</v>
      </c>
      <c r="S127" s="14">
        <f t="shared" si="21"/>
        <v>1387</v>
      </c>
      <c r="T127" s="14">
        <v>9050</v>
      </c>
      <c r="U127" s="9">
        <v>8014</v>
      </c>
      <c r="V127" s="13">
        <v>2128</v>
      </c>
      <c r="W127" s="18"/>
    </row>
    <row r="128" spans="1:26" x14ac:dyDescent="0.3">
      <c r="A128" s="19" t="s">
        <v>17</v>
      </c>
      <c r="B128" s="3">
        <v>2013</v>
      </c>
      <c r="C128" s="23">
        <v>278.33333333333331</v>
      </c>
      <c r="D128" s="8">
        <v>15052</v>
      </c>
      <c r="E128" s="8">
        <v>1174</v>
      </c>
      <c r="F128" s="8">
        <f>-2787-881</f>
        <v>-3668</v>
      </c>
      <c r="G128" s="8">
        <v>-550</v>
      </c>
      <c r="H128" s="8">
        <v>-140</v>
      </c>
      <c r="I128" s="8">
        <v>-1544</v>
      </c>
      <c r="J128" s="8">
        <f t="shared" si="15"/>
        <v>10324</v>
      </c>
      <c r="K128" s="8">
        <v>-3676</v>
      </c>
      <c r="L128" s="8">
        <f t="shared" si="18"/>
        <v>6648</v>
      </c>
      <c r="M128" s="8">
        <f>-238-137</f>
        <v>-375</v>
      </c>
      <c r="N128" s="15">
        <v>-1800</v>
      </c>
      <c r="O128" s="15">
        <f t="shared" si="19"/>
        <v>4473</v>
      </c>
      <c r="P128" s="15">
        <f t="shared" si="20"/>
        <v>1430</v>
      </c>
      <c r="Q128" s="14">
        <v>5903</v>
      </c>
      <c r="R128" s="14">
        <v>4203</v>
      </c>
      <c r="S128" s="14">
        <f t="shared" si="21"/>
        <v>123</v>
      </c>
      <c r="T128" s="14">
        <v>10229</v>
      </c>
      <c r="U128" s="11">
        <v>5982</v>
      </c>
      <c r="V128" s="13">
        <v>1553</v>
      </c>
      <c r="W128" s="18"/>
    </row>
    <row r="129" spans="1:23" x14ac:dyDescent="0.3">
      <c r="A129" s="19" t="s">
        <v>17</v>
      </c>
      <c r="B129" s="3">
        <v>2014</v>
      </c>
      <c r="C129" s="23">
        <v>218.16666666666666</v>
      </c>
      <c r="D129" s="8">
        <v>13910</v>
      </c>
      <c r="E129" s="8">
        <v>1373</v>
      </c>
      <c r="F129" s="8">
        <f>-2944-852</f>
        <v>-3796</v>
      </c>
      <c r="G129" s="8">
        <v>-534</v>
      </c>
      <c r="H129" s="8">
        <v>-150</v>
      </c>
      <c r="I129" s="8">
        <v>-1503</v>
      </c>
      <c r="J129" s="8">
        <f t="shared" si="15"/>
        <v>9300</v>
      </c>
      <c r="K129" s="8">
        <v>-3701</v>
      </c>
      <c r="L129" s="8">
        <f t="shared" si="18"/>
        <v>5599</v>
      </c>
      <c r="M129" s="8">
        <f>-219-180</f>
        <v>-399</v>
      </c>
      <c r="N129" s="15">
        <v>-2900</v>
      </c>
      <c r="O129" s="15">
        <f t="shared" si="19"/>
        <v>2300</v>
      </c>
      <c r="P129" s="15">
        <f t="shared" si="20"/>
        <v>-1670</v>
      </c>
      <c r="Q129" s="15">
        <v>630</v>
      </c>
      <c r="R129" s="15">
        <v>4261</v>
      </c>
      <c r="S129" s="15">
        <f t="shared" si="21"/>
        <v>3980</v>
      </c>
      <c r="T129" s="15">
        <v>8871</v>
      </c>
      <c r="U129" s="11">
        <v>8284</v>
      </c>
      <c r="V129" s="13">
        <v>2210</v>
      </c>
      <c r="W129" s="18"/>
    </row>
    <row r="130" spans="1:23" x14ac:dyDescent="0.3">
      <c r="A130" s="19" t="s">
        <v>17</v>
      </c>
      <c r="B130" s="3">
        <v>2015</v>
      </c>
      <c r="C130" s="23">
        <v>246</v>
      </c>
      <c r="D130" s="8">
        <v>8304</v>
      </c>
      <c r="E130" s="11">
        <v>891</v>
      </c>
      <c r="F130" s="8">
        <f>-2844-778</f>
        <v>-3622</v>
      </c>
      <c r="G130" s="8">
        <v>-323</v>
      </c>
      <c r="H130" s="8">
        <v>-36</v>
      </c>
      <c r="I130" s="8">
        <v>-1270</v>
      </c>
      <c r="J130" s="8">
        <f t="shared" si="15"/>
        <v>3944</v>
      </c>
      <c r="K130" s="8">
        <v>-3886</v>
      </c>
      <c r="L130" s="8">
        <f t="shared" si="18"/>
        <v>58</v>
      </c>
      <c r="M130" s="8">
        <f>-246-138</f>
        <v>-384</v>
      </c>
      <c r="N130" s="15">
        <v>-1000</v>
      </c>
      <c r="O130" s="15">
        <f t="shared" si="19"/>
        <v>-1326</v>
      </c>
      <c r="P130" s="15">
        <f t="shared" si="20"/>
        <v>-6503</v>
      </c>
      <c r="Q130" s="15">
        <v>-7829</v>
      </c>
      <c r="R130" s="15">
        <v>4544</v>
      </c>
      <c r="S130" s="15">
        <f t="shared" si="21"/>
        <v>6539</v>
      </c>
      <c r="T130" s="15">
        <v>3254</v>
      </c>
      <c r="U130" s="11">
        <v>4762</v>
      </c>
      <c r="V130" s="13">
        <v>2264</v>
      </c>
      <c r="W130" s="18"/>
    </row>
    <row r="131" spans="1:23" x14ac:dyDescent="0.3">
      <c r="A131" s="21" t="s">
        <v>17</v>
      </c>
      <c r="B131" s="94">
        <v>2016</v>
      </c>
      <c r="C131" s="112">
        <v>231</v>
      </c>
      <c r="D131" s="107">
        <v>6337</v>
      </c>
      <c r="E131" s="113">
        <v>684</v>
      </c>
      <c r="F131" s="107">
        <v>-3137</v>
      </c>
      <c r="G131" s="107">
        <v>-250</v>
      </c>
      <c r="H131" s="107">
        <v>-62</v>
      </c>
      <c r="I131" s="107">
        <v>-1330</v>
      </c>
      <c r="J131" s="107">
        <v>2242</v>
      </c>
      <c r="K131" s="107">
        <v>-3575</v>
      </c>
      <c r="L131" s="107">
        <v>-1333</v>
      </c>
      <c r="M131" s="107">
        <v>-376</v>
      </c>
      <c r="N131" s="108">
        <v>-300</v>
      </c>
      <c r="O131" s="108">
        <v>-2009</v>
      </c>
      <c r="P131" s="108">
        <v>1435</v>
      </c>
      <c r="Q131" s="108">
        <v>-574</v>
      </c>
      <c r="R131" s="108">
        <v>4268</v>
      </c>
      <c r="S131" s="108">
        <v>-1175</v>
      </c>
      <c r="T131" s="108">
        <v>2519</v>
      </c>
      <c r="U131" s="113">
        <v>4662</v>
      </c>
      <c r="V131" s="13">
        <v>2309</v>
      </c>
      <c r="W131" s="18"/>
    </row>
    <row r="132" spans="1:23" x14ac:dyDescent="0.3">
      <c r="A132" s="19" t="s">
        <v>18</v>
      </c>
      <c r="B132" s="3">
        <v>2007</v>
      </c>
      <c r="C132" s="23">
        <v>41.372500000000002</v>
      </c>
      <c r="D132" s="8"/>
      <c r="E132" s="11"/>
      <c r="F132" s="8">
        <v>0</v>
      </c>
      <c r="G132" s="8">
        <v>0</v>
      </c>
      <c r="H132" s="8">
        <v>0</v>
      </c>
      <c r="I132" s="8">
        <v>0</v>
      </c>
      <c r="J132" s="8">
        <f t="shared" si="15"/>
        <v>0</v>
      </c>
      <c r="K132" s="8"/>
      <c r="L132" s="8">
        <f t="shared" si="18"/>
        <v>0</v>
      </c>
      <c r="M132" s="8">
        <v>0</v>
      </c>
      <c r="N132" s="8">
        <v>0</v>
      </c>
      <c r="O132" s="8">
        <f t="shared" si="19"/>
        <v>0</v>
      </c>
      <c r="P132" s="8">
        <f t="shared" si="20"/>
        <v>0</v>
      </c>
      <c r="Q132" s="8"/>
      <c r="R132" s="8">
        <v>0</v>
      </c>
      <c r="S132" s="8">
        <f t="shared" si="21"/>
        <v>0</v>
      </c>
      <c r="T132" s="8"/>
      <c r="U132" s="9"/>
      <c r="V132" s="13"/>
      <c r="W132" s="18"/>
    </row>
    <row r="133" spans="1:23" x14ac:dyDescent="0.3">
      <c r="A133" s="19" t="s">
        <v>18</v>
      </c>
      <c r="B133" s="3">
        <v>2008</v>
      </c>
      <c r="C133" s="23">
        <v>44.673833333333334</v>
      </c>
      <c r="D133" s="8"/>
      <c r="E133" s="9"/>
      <c r="F133" s="8">
        <v>0</v>
      </c>
      <c r="G133" s="8">
        <v>0</v>
      </c>
      <c r="H133" s="8">
        <v>0</v>
      </c>
      <c r="I133" s="8">
        <v>0</v>
      </c>
      <c r="J133" s="8">
        <f t="shared" si="15"/>
        <v>0</v>
      </c>
      <c r="K133" s="8"/>
      <c r="L133" s="8">
        <f t="shared" si="18"/>
        <v>0</v>
      </c>
      <c r="M133" s="8">
        <v>0</v>
      </c>
      <c r="N133" s="8">
        <v>0</v>
      </c>
      <c r="O133" s="8">
        <f t="shared" si="19"/>
        <v>0</v>
      </c>
      <c r="P133" s="8">
        <f t="shared" si="20"/>
        <v>0</v>
      </c>
      <c r="Q133" s="8"/>
      <c r="R133" s="8">
        <v>0</v>
      </c>
      <c r="S133" s="8">
        <f t="shared" si="21"/>
        <v>0</v>
      </c>
      <c r="T133" s="8"/>
      <c r="U133" s="9"/>
      <c r="V133" s="13">
        <v>36</v>
      </c>
      <c r="W133" s="18"/>
    </row>
    <row r="134" spans="1:23" x14ac:dyDescent="0.3">
      <c r="A134" s="19" t="s">
        <v>18</v>
      </c>
      <c r="B134" s="3">
        <v>2009</v>
      </c>
      <c r="C134" s="23">
        <v>45.261833333333328</v>
      </c>
      <c r="D134" s="8">
        <v>1402.4359999999999</v>
      </c>
      <c r="E134" s="9">
        <v>0</v>
      </c>
      <c r="F134" s="8">
        <v>-345.88499999999999</v>
      </c>
      <c r="G134" s="8">
        <v>-98.370999999999995</v>
      </c>
      <c r="H134" s="8">
        <v>-79.094999999999999</v>
      </c>
      <c r="I134" s="8">
        <v>-130.863</v>
      </c>
      <c r="J134" s="8">
        <f t="shared" si="15"/>
        <v>748.22199999999998</v>
      </c>
      <c r="K134" s="8">
        <f>-R134</f>
        <v>-564.149</v>
      </c>
      <c r="L134" s="8">
        <f t="shared" si="18"/>
        <v>184.07299999999998</v>
      </c>
      <c r="M134" s="8">
        <v>-183.00399999999999</v>
      </c>
      <c r="N134" s="14">
        <v>11.703999999999999</v>
      </c>
      <c r="O134" s="14">
        <f t="shared" si="19"/>
        <v>12.772999999999987</v>
      </c>
      <c r="P134" s="14">
        <f t="shared" si="20"/>
        <v>-55.039999999999992</v>
      </c>
      <c r="Q134" s="14">
        <v>-42.267000000000003</v>
      </c>
      <c r="R134" s="8">
        <v>564.149</v>
      </c>
      <c r="S134" s="14">
        <f t="shared" si="21"/>
        <v>21.177000000000021</v>
      </c>
      <c r="T134" s="14">
        <f>543.059</f>
        <v>543.05899999999997</v>
      </c>
      <c r="U134" s="9">
        <v>414.20600000000002</v>
      </c>
      <c r="V134" s="13">
        <v>9</v>
      </c>
      <c r="W134" s="18"/>
    </row>
    <row r="135" spans="1:23" x14ac:dyDescent="0.3">
      <c r="A135" s="19" t="s">
        <v>18</v>
      </c>
      <c r="B135" s="3">
        <v>2010</v>
      </c>
      <c r="C135" s="23">
        <v>44.765999999999998</v>
      </c>
      <c r="D135" s="8">
        <v>1718.297</v>
      </c>
      <c r="E135" s="9">
        <v>0</v>
      </c>
      <c r="F135" s="8">
        <v>-364.76400000000001</v>
      </c>
      <c r="G135" s="8">
        <v>-112.14100000000001</v>
      </c>
      <c r="H135" s="8">
        <v>-189.59700000000001</v>
      </c>
      <c r="I135" s="8">
        <v>-164.33199999999999</v>
      </c>
      <c r="J135" s="8">
        <f t="shared" si="15"/>
        <v>887.46299999999985</v>
      </c>
      <c r="K135" s="8">
        <f>-R135</f>
        <v>499.85599999999999</v>
      </c>
      <c r="L135" s="8">
        <f t="shared" si="18"/>
        <v>1387.319</v>
      </c>
      <c r="M135" s="8">
        <v>-198.32599999999999</v>
      </c>
      <c r="N135" s="14">
        <v>-9.8640000000000008</v>
      </c>
      <c r="O135" s="14">
        <f t="shared" si="19"/>
        <v>1179.1289999999999</v>
      </c>
      <c r="P135" s="14">
        <f t="shared" si="20"/>
        <v>-533.1339999999999</v>
      </c>
      <c r="Q135" s="14">
        <v>645.995</v>
      </c>
      <c r="R135" s="8">
        <v>-499.85599999999999</v>
      </c>
      <c r="S135" s="14">
        <f t="shared" si="21"/>
        <v>1138.884</v>
      </c>
      <c r="T135" s="14">
        <f>1285.023</f>
        <v>1285.0229999999999</v>
      </c>
      <c r="U135" s="9">
        <v>1092.2339999999999</v>
      </c>
      <c r="V135" s="13">
        <v>9</v>
      </c>
    </row>
    <row r="136" spans="1:23" x14ac:dyDescent="0.3">
      <c r="A136" s="19" t="s">
        <v>18</v>
      </c>
      <c r="B136" s="3">
        <v>2011</v>
      </c>
      <c r="C136" s="23">
        <v>48.582333333333331</v>
      </c>
      <c r="D136" s="8">
        <v>1985</v>
      </c>
      <c r="E136" s="9">
        <v>0</v>
      </c>
      <c r="F136" s="8">
        <v>-396.96100000000001</v>
      </c>
      <c r="G136" s="8">
        <v>-139.42500000000001</v>
      </c>
      <c r="H136" s="8">
        <v>-80.691000000000003</v>
      </c>
      <c r="I136" s="8">
        <v>-189.98500000000001</v>
      </c>
      <c r="J136" s="8">
        <f t="shared" si="15"/>
        <v>1177.9380000000001</v>
      </c>
      <c r="K136" s="8">
        <f>-R136</f>
        <v>-607.40499999999997</v>
      </c>
      <c r="L136" s="8">
        <f t="shared" si="18"/>
        <v>570.53300000000013</v>
      </c>
      <c r="M136" s="8">
        <v>-194.96600000000001</v>
      </c>
      <c r="N136" s="14">
        <v>-6.9480000000000004</v>
      </c>
      <c r="O136" s="14">
        <f t="shared" si="19"/>
        <v>368.61900000000014</v>
      </c>
      <c r="P136" s="14">
        <f t="shared" si="20"/>
        <v>513.29499999999985</v>
      </c>
      <c r="Q136" s="14">
        <v>881.91399999999999</v>
      </c>
      <c r="R136" s="14">
        <v>607.40499999999997</v>
      </c>
      <c r="S136" s="14">
        <f t="shared" si="21"/>
        <v>40.394999999999982</v>
      </c>
      <c r="T136" s="14">
        <f>1529.714</f>
        <v>1529.7139999999999</v>
      </c>
      <c r="U136" s="9">
        <v>2153.9840000000004</v>
      </c>
      <c r="V136" s="13">
        <v>10</v>
      </c>
    </row>
    <row r="137" spans="1:23" x14ac:dyDescent="0.3">
      <c r="A137" s="20" t="s">
        <v>18</v>
      </c>
      <c r="B137" s="4">
        <v>2012</v>
      </c>
      <c r="C137" s="24">
        <v>60.769166666666663</v>
      </c>
      <c r="D137" s="10">
        <v>2512</v>
      </c>
      <c r="E137" s="11">
        <v>0</v>
      </c>
      <c r="F137" s="10">
        <v>-532</v>
      </c>
      <c r="G137" s="10">
        <v>-169</v>
      </c>
      <c r="H137" s="10">
        <v>-97</v>
      </c>
      <c r="I137" s="10">
        <v>-244</v>
      </c>
      <c r="J137" s="10">
        <f t="shared" si="15"/>
        <v>1470</v>
      </c>
      <c r="K137" s="10">
        <f t="shared" ref="K137:K139" si="28">-R137</f>
        <v>-689</v>
      </c>
      <c r="L137" s="8">
        <f t="shared" si="18"/>
        <v>781</v>
      </c>
      <c r="M137" s="10">
        <v>-215</v>
      </c>
      <c r="N137" s="14">
        <v>-4.2590000000000003</v>
      </c>
      <c r="O137" s="14">
        <f t="shared" si="19"/>
        <v>561.74099999999999</v>
      </c>
      <c r="P137" s="14">
        <f t="shared" si="20"/>
        <v>-318.74099999999999</v>
      </c>
      <c r="Q137" s="14">
        <v>243</v>
      </c>
      <c r="R137" s="14">
        <v>689</v>
      </c>
      <c r="S137" s="14">
        <f t="shared" si="21"/>
        <v>905</v>
      </c>
      <c r="T137" s="14">
        <f>1837</f>
        <v>1837</v>
      </c>
      <c r="U137" s="9">
        <v>2946.8919999999998</v>
      </c>
      <c r="V137" s="13">
        <v>10</v>
      </c>
    </row>
    <row r="138" spans="1:23" x14ac:dyDescent="0.3">
      <c r="A138" s="19" t="s">
        <v>18</v>
      </c>
      <c r="B138" s="3">
        <v>2013</v>
      </c>
      <c r="C138" s="23">
        <v>66.73566666666666</v>
      </c>
      <c r="D138" s="8">
        <v>3088</v>
      </c>
      <c r="E138" s="11">
        <v>0</v>
      </c>
      <c r="F138" s="8">
        <v>-588</v>
      </c>
      <c r="G138" s="8">
        <v>-192</v>
      </c>
      <c r="H138" s="8">
        <v>-97</v>
      </c>
      <c r="I138" s="8">
        <v>-296</v>
      </c>
      <c r="J138" s="8">
        <f t="shared" si="15"/>
        <v>1915</v>
      </c>
      <c r="K138" s="8">
        <f t="shared" si="28"/>
        <v>-889</v>
      </c>
      <c r="L138" s="8">
        <f t="shared" si="18"/>
        <v>1026</v>
      </c>
      <c r="M138" s="8">
        <v>-194</v>
      </c>
      <c r="N138" s="15">
        <v>-10.362</v>
      </c>
      <c r="O138" s="15">
        <f t="shared" si="19"/>
        <v>821.63800000000003</v>
      </c>
      <c r="P138" s="15">
        <f t="shared" si="20"/>
        <v>-1620.6379999999999</v>
      </c>
      <c r="Q138" s="14">
        <v>-799</v>
      </c>
      <c r="R138" s="14">
        <v>889</v>
      </c>
      <c r="S138" s="14">
        <f t="shared" si="21"/>
        <v>2056</v>
      </c>
      <c r="T138" s="14">
        <f>2146</f>
        <v>2146</v>
      </c>
      <c r="U138" s="11">
        <v>2835.299</v>
      </c>
      <c r="V138" s="13">
        <v>11</v>
      </c>
    </row>
    <row r="139" spans="1:23" x14ac:dyDescent="0.3">
      <c r="A139" s="19" t="s">
        <v>18</v>
      </c>
      <c r="B139" s="3">
        <v>2014</v>
      </c>
      <c r="C139" s="23">
        <v>74.216333333333338</v>
      </c>
      <c r="D139" s="8">
        <v>3599</v>
      </c>
      <c r="E139" s="11">
        <v>0</v>
      </c>
      <c r="F139" s="8">
        <v>-693</v>
      </c>
      <c r="G139" s="8">
        <v>-220</v>
      </c>
      <c r="H139" s="8">
        <v>-177</v>
      </c>
      <c r="I139" s="8">
        <v>-333</v>
      </c>
      <c r="J139" s="8">
        <f t="shared" si="15"/>
        <v>2176</v>
      </c>
      <c r="K139" s="8">
        <f t="shared" si="28"/>
        <v>-1047</v>
      </c>
      <c r="L139" s="8">
        <f t="shared" si="18"/>
        <v>1129</v>
      </c>
      <c r="M139" s="8">
        <v>-188</v>
      </c>
      <c r="N139" s="15">
        <v>-4</v>
      </c>
      <c r="O139" s="15">
        <f t="shared" si="19"/>
        <v>937</v>
      </c>
      <c r="P139" s="15">
        <f t="shared" si="20"/>
        <v>-7</v>
      </c>
      <c r="Q139" s="15">
        <v>930</v>
      </c>
      <c r="R139" s="15">
        <v>1047</v>
      </c>
      <c r="S139" s="15">
        <f t="shared" si="21"/>
        <v>389</v>
      </c>
      <c r="T139" s="15">
        <f>2366</f>
        <v>2366</v>
      </c>
      <c r="U139" s="11">
        <v>3575</v>
      </c>
      <c r="V139" s="13">
        <v>12</v>
      </c>
    </row>
    <row r="140" spans="1:23" x14ac:dyDescent="0.3">
      <c r="A140" s="19" t="s">
        <v>18</v>
      </c>
      <c r="B140" s="3">
        <v>2015</v>
      </c>
      <c r="C140" s="23">
        <v>77.066999999999993</v>
      </c>
      <c r="D140" s="8">
        <v>2178</v>
      </c>
      <c r="E140" s="11">
        <v>0</v>
      </c>
      <c r="F140" s="8">
        <v>-717</v>
      </c>
      <c r="G140" s="8">
        <v>-145</v>
      </c>
      <c r="H140" s="8">
        <v>-99</v>
      </c>
      <c r="I140" s="8">
        <v>-327</v>
      </c>
      <c r="J140" s="8">
        <f t="shared" si="15"/>
        <v>890</v>
      </c>
      <c r="K140" s="8">
        <f>-R140</f>
        <v>-1385</v>
      </c>
      <c r="L140" s="8">
        <f t="shared" si="18"/>
        <v>-495</v>
      </c>
      <c r="M140" s="8">
        <v>-191</v>
      </c>
      <c r="N140" s="15">
        <v>-23</v>
      </c>
      <c r="O140" s="15">
        <f t="shared" si="19"/>
        <v>-709</v>
      </c>
      <c r="P140" s="15">
        <f t="shared" si="20"/>
        <v>436</v>
      </c>
      <c r="Q140" s="15">
        <v>-273</v>
      </c>
      <c r="R140" s="15">
        <v>1385</v>
      </c>
      <c r="S140" s="15">
        <f t="shared" si="21"/>
        <v>136</v>
      </c>
      <c r="T140" s="15">
        <v>1248</v>
      </c>
      <c r="U140" s="11">
        <v>2073</v>
      </c>
      <c r="V140" s="13">
        <v>12</v>
      </c>
    </row>
    <row r="141" spans="1:23" x14ac:dyDescent="0.3">
      <c r="A141" s="21" t="s">
        <v>18</v>
      </c>
      <c r="B141" s="94">
        <v>2016</v>
      </c>
      <c r="C141" s="95">
        <v>88.1</v>
      </c>
      <c r="D141" s="96">
        <v>2418</v>
      </c>
      <c r="E141" s="97">
        <v>0</v>
      </c>
      <c r="F141" s="96">
        <v>-581</v>
      </c>
      <c r="G141" s="96">
        <v>-136</v>
      </c>
      <c r="H141" s="96">
        <v>-119</v>
      </c>
      <c r="I141" s="96">
        <v>-325</v>
      </c>
      <c r="J141" s="96">
        <f t="shared" si="15"/>
        <v>1257</v>
      </c>
      <c r="K141" s="96">
        <v>-1480</v>
      </c>
      <c r="L141" s="96">
        <f t="shared" si="18"/>
        <v>-223</v>
      </c>
      <c r="M141" s="96">
        <v>-211</v>
      </c>
      <c r="N141" s="98">
        <v>24</v>
      </c>
      <c r="O141" s="98">
        <f t="shared" si="19"/>
        <v>-410</v>
      </c>
      <c r="P141" s="98">
        <f t="shared" si="20"/>
        <v>-146</v>
      </c>
      <c r="Q141" s="98">
        <v>-556</v>
      </c>
      <c r="R141" s="98">
        <v>1480</v>
      </c>
      <c r="S141" s="98">
        <f t="shared" si="21"/>
        <v>574</v>
      </c>
      <c r="T141" s="98">
        <v>1498</v>
      </c>
      <c r="U141" s="97">
        <f>2409-21</f>
        <v>2388</v>
      </c>
      <c r="V141" s="13">
        <v>13</v>
      </c>
    </row>
    <row r="142" spans="1:23" x14ac:dyDescent="0.3">
      <c r="A142" s="19" t="s">
        <v>22</v>
      </c>
      <c r="B142" s="3">
        <v>2007</v>
      </c>
      <c r="C142" s="23">
        <v>19.608333333333334</v>
      </c>
      <c r="D142" s="8"/>
      <c r="E142" s="9"/>
      <c r="F142" s="8">
        <v>0</v>
      </c>
      <c r="G142" s="8">
        <v>0</v>
      </c>
      <c r="H142" s="8">
        <v>0</v>
      </c>
      <c r="I142" s="8">
        <v>0</v>
      </c>
      <c r="J142" s="8">
        <f t="shared" si="15"/>
        <v>0</v>
      </c>
      <c r="K142" s="8"/>
      <c r="L142" s="8">
        <f t="shared" si="18"/>
        <v>0</v>
      </c>
      <c r="M142" s="8">
        <v>0</v>
      </c>
      <c r="N142" s="8">
        <v>0</v>
      </c>
      <c r="O142" s="8">
        <f t="shared" si="19"/>
        <v>0</v>
      </c>
      <c r="P142" s="8">
        <f t="shared" si="20"/>
        <v>0</v>
      </c>
      <c r="Q142" s="8"/>
      <c r="R142" s="8">
        <v>0</v>
      </c>
      <c r="S142" s="8">
        <f t="shared" si="21"/>
        <v>0</v>
      </c>
      <c r="T142" s="8"/>
      <c r="U142" s="9"/>
      <c r="V142" s="13"/>
    </row>
    <row r="143" spans="1:23" x14ac:dyDescent="0.3">
      <c r="A143" s="19" t="s">
        <v>22</v>
      </c>
      <c r="B143" s="3">
        <v>2008</v>
      </c>
      <c r="C143" s="23">
        <v>23.524833333333333</v>
      </c>
      <c r="D143" s="8"/>
      <c r="E143" s="9"/>
      <c r="F143" s="8">
        <v>0</v>
      </c>
      <c r="G143" s="8">
        <v>0</v>
      </c>
      <c r="H143" s="8">
        <v>0</v>
      </c>
      <c r="I143" s="8">
        <v>0</v>
      </c>
      <c r="J143" s="8">
        <f t="shared" si="15"/>
        <v>0</v>
      </c>
      <c r="K143" s="8"/>
      <c r="L143" s="8">
        <f t="shared" si="18"/>
        <v>0</v>
      </c>
      <c r="M143" s="8">
        <v>0</v>
      </c>
      <c r="N143" s="8">
        <v>0</v>
      </c>
      <c r="O143" s="8">
        <f t="shared" si="19"/>
        <v>0</v>
      </c>
      <c r="P143" s="8">
        <f t="shared" si="20"/>
        <v>0</v>
      </c>
      <c r="Q143" s="8"/>
      <c r="R143" s="8">
        <v>0</v>
      </c>
      <c r="S143" s="8">
        <f t="shared" si="21"/>
        <v>0</v>
      </c>
      <c r="T143" s="8"/>
      <c r="U143" s="9"/>
      <c r="V143" s="13">
        <v>25</v>
      </c>
    </row>
    <row r="144" spans="1:23" x14ac:dyDescent="0.3">
      <c r="A144" s="19" t="s">
        <v>22</v>
      </c>
      <c r="B144" s="3">
        <v>2009</v>
      </c>
      <c r="C144" s="23">
        <v>26.518833333333333</v>
      </c>
      <c r="D144" s="8">
        <v>751.74900000000002</v>
      </c>
      <c r="E144" s="9">
        <v>0</v>
      </c>
      <c r="F144" s="8">
        <v>-98.251000000000005</v>
      </c>
      <c r="G144" s="8">
        <v>-25.536000000000001</v>
      </c>
      <c r="H144" s="8">
        <v>-44.276000000000003</v>
      </c>
      <c r="I144" s="8">
        <v>-115.319</v>
      </c>
      <c r="J144" s="8">
        <f t="shared" si="15"/>
        <v>468.36700000000002</v>
      </c>
      <c r="K144" s="8">
        <f t="shared" ref="K144:K149" si="29">-R144</f>
        <v>-267.14800000000002</v>
      </c>
      <c r="L144" s="8">
        <f t="shared" si="18"/>
        <v>201.21899999999999</v>
      </c>
      <c r="M144" s="8">
        <v>-108.685</v>
      </c>
      <c r="N144" s="14">
        <v>-0.17</v>
      </c>
      <c r="O144" s="14">
        <f t="shared" si="19"/>
        <v>92.36399999999999</v>
      </c>
      <c r="P144" s="14">
        <f t="shared" si="20"/>
        <v>-146.23399999999998</v>
      </c>
      <c r="Q144" s="14">
        <v>-53.87</v>
      </c>
      <c r="R144" s="14">
        <v>267.14800000000002</v>
      </c>
      <c r="S144" s="14">
        <f t="shared" si="21"/>
        <v>340.92899999999997</v>
      </c>
      <c r="T144" s="14">
        <f>554.207</f>
        <v>554.20699999999999</v>
      </c>
      <c r="U144" s="9">
        <v>814.24400000000003</v>
      </c>
      <c r="V144" s="13">
        <v>25</v>
      </c>
    </row>
    <row r="145" spans="1:22" x14ac:dyDescent="0.3">
      <c r="A145" s="19" t="s">
        <v>22</v>
      </c>
      <c r="B145" s="3">
        <v>2010</v>
      </c>
      <c r="C145" s="23">
        <v>30.13133333333333</v>
      </c>
      <c r="D145" s="8">
        <v>823.29</v>
      </c>
      <c r="E145" s="11">
        <v>0</v>
      </c>
      <c r="F145" s="8">
        <v>-94.274000000000001</v>
      </c>
      <c r="G145" s="8">
        <v>-26.106999999999999</v>
      </c>
      <c r="H145" s="8">
        <v>-60.506</v>
      </c>
      <c r="I145" s="8">
        <v>-140.571</v>
      </c>
      <c r="J145" s="8">
        <f t="shared" si="15"/>
        <v>501.83199999999999</v>
      </c>
      <c r="K145" s="8">
        <f t="shared" si="29"/>
        <v>-275.238</v>
      </c>
      <c r="L145" s="8">
        <f t="shared" si="18"/>
        <v>226.59399999999999</v>
      </c>
      <c r="M145" s="8">
        <v>-116.76600000000001</v>
      </c>
      <c r="N145" s="14">
        <v>1.359</v>
      </c>
      <c r="O145" s="14">
        <f t="shared" si="19"/>
        <v>111.18699999999998</v>
      </c>
      <c r="P145" s="14">
        <f t="shared" si="20"/>
        <v>-350.44299999999998</v>
      </c>
      <c r="Q145" s="14">
        <v>-239.256</v>
      </c>
      <c r="R145" s="14">
        <v>275.238</v>
      </c>
      <c r="S145" s="14">
        <f t="shared" si="21"/>
        <v>397.904</v>
      </c>
      <c r="T145" s="14">
        <f>433.886</f>
        <v>433.88600000000002</v>
      </c>
      <c r="U145" s="9">
        <v>1211.8779999999999</v>
      </c>
      <c r="V145" s="13">
        <v>26</v>
      </c>
    </row>
    <row r="146" spans="1:22" x14ac:dyDescent="0.3">
      <c r="A146" s="19" t="s">
        <v>22</v>
      </c>
      <c r="B146" s="3">
        <v>2011</v>
      </c>
      <c r="C146" s="23">
        <v>33.707833333333333</v>
      </c>
      <c r="D146" s="8">
        <v>1173.2660000000001</v>
      </c>
      <c r="E146" s="11">
        <v>0</v>
      </c>
      <c r="F146" s="8">
        <v>-112.97199999999999</v>
      </c>
      <c r="G146" s="8">
        <v>-27.666599999999999</v>
      </c>
      <c r="H146" s="8">
        <v>-81.367000000000004</v>
      </c>
      <c r="I146" s="8">
        <v>-151.191</v>
      </c>
      <c r="J146" s="8">
        <f t="shared" si="15"/>
        <v>800.06940000000009</v>
      </c>
      <c r="K146" s="8">
        <f t="shared" si="29"/>
        <v>-341.221</v>
      </c>
      <c r="L146" s="8">
        <f t="shared" si="18"/>
        <v>458.84840000000008</v>
      </c>
      <c r="M146" s="8">
        <v>-133.10300000000001</v>
      </c>
      <c r="N146" s="14">
        <v>-0.67500000000000004</v>
      </c>
      <c r="O146" s="14">
        <f t="shared" si="19"/>
        <v>325.07040000000006</v>
      </c>
      <c r="P146" s="14">
        <f t="shared" si="20"/>
        <v>-267.04440000000005</v>
      </c>
      <c r="Q146" s="14">
        <v>58.026000000000003</v>
      </c>
      <c r="R146" s="14">
        <v>341.221</v>
      </c>
      <c r="S146" s="14">
        <f t="shared" si="21"/>
        <v>210.95300000000003</v>
      </c>
      <c r="T146" s="14">
        <f>610.2</f>
        <v>610.20000000000005</v>
      </c>
      <c r="U146" s="9">
        <v>1616.6010000000001</v>
      </c>
      <c r="V146" s="13">
        <v>26</v>
      </c>
    </row>
    <row r="147" spans="1:22" x14ac:dyDescent="0.3">
      <c r="A147" s="20" t="s">
        <v>22</v>
      </c>
      <c r="B147" s="4">
        <v>2012</v>
      </c>
      <c r="C147" s="24">
        <v>45.912500000000001</v>
      </c>
      <c r="D147" s="10">
        <v>1351.694</v>
      </c>
      <c r="E147" s="11">
        <v>0</v>
      </c>
      <c r="F147" s="10">
        <v>-308.35000000000002</v>
      </c>
      <c r="G147" s="10">
        <v>-67.12</v>
      </c>
      <c r="H147" s="10">
        <v>-69.807000000000002</v>
      </c>
      <c r="I147" s="10">
        <v>-173.81299999999999</v>
      </c>
      <c r="J147" s="10">
        <f t="shared" si="15"/>
        <v>732.60400000000004</v>
      </c>
      <c r="K147" s="10">
        <f t="shared" si="29"/>
        <v>-445.22800000000001</v>
      </c>
      <c r="L147" s="8">
        <f t="shared" si="18"/>
        <v>287.37600000000003</v>
      </c>
      <c r="M147" s="10">
        <v>-153.249</v>
      </c>
      <c r="N147" s="14">
        <v>-0.38600000000000001</v>
      </c>
      <c r="O147" s="14">
        <f t="shared" si="19"/>
        <v>133.74100000000004</v>
      </c>
      <c r="P147" s="14">
        <f t="shared" si="20"/>
        <v>-120.73900000000005</v>
      </c>
      <c r="Q147" s="14">
        <v>13.002000000000001</v>
      </c>
      <c r="R147" s="14">
        <v>445.22800000000001</v>
      </c>
      <c r="S147" s="14">
        <f t="shared" si="21"/>
        <v>188.86900000000003</v>
      </c>
      <c r="T147" s="14">
        <f>647.099</f>
        <v>647.09900000000005</v>
      </c>
      <c r="U147" s="9">
        <v>1716.6120000000001</v>
      </c>
      <c r="V147" s="13">
        <v>26</v>
      </c>
    </row>
    <row r="148" spans="1:22" x14ac:dyDescent="0.3">
      <c r="A148" s="19" t="s">
        <v>22</v>
      </c>
      <c r="B148" s="3">
        <v>2013</v>
      </c>
      <c r="C148" s="23">
        <v>57.168999999999997</v>
      </c>
      <c r="D148" s="8">
        <v>1715.6759999999999</v>
      </c>
      <c r="E148" s="9">
        <v>0</v>
      </c>
      <c r="F148" s="8">
        <v>-384.33300000000003</v>
      </c>
      <c r="G148" s="8">
        <v>-45.24</v>
      </c>
      <c r="H148" s="8">
        <v>-64.409000000000006</v>
      </c>
      <c r="I148" s="8">
        <f>-291.171-131.786</f>
        <v>-422.95699999999999</v>
      </c>
      <c r="J148" s="8">
        <f t="shared" si="15"/>
        <v>798.73699999999974</v>
      </c>
      <c r="K148" s="8">
        <f t="shared" si="29"/>
        <v>-492.39699999999999</v>
      </c>
      <c r="L148" s="8">
        <f t="shared" si="18"/>
        <v>306.33999999999975</v>
      </c>
      <c r="M148" s="8">
        <v>-176.55</v>
      </c>
      <c r="N148" s="15">
        <v>0.34699999999999998</v>
      </c>
      <c r="O148" s="15">
        <f t="shared" si="19"/>
        <v>130.13699999999974</v>
      </c>
      <c r="P148" s="15">
        <f t="shared" si="20"/>
        <v>-14.41499999999975</v>
      </c>
      <c r="Q148" s="14">
        <v>115.72199999999999</v>
      </c>
      <c r="R148" s="14">
        <v>492.39699999999999</v>
      </c>
      <c r="S148" s="14">
        <f t="shared" si="21"/>
        <v>135.41899999999998</v>
      </c>
      <c r="T148" s="14">
        <f>743.538</f>
        <v>743.53800000000001</v>
      </c>
      <c r="U148" s="11">
        <v>1453.816</v>
      </c>
      <c r="V148" s="13">
        <v>26</v>
      </c>
    </row>
    <row r="149" spans="1:22" x14ac:dyDescent="0.3">
      <c r="A149" s="19" t="s">
        <v>22</v>
      </c>
      <c r="B149" s="3">
        <v>2014</v>
      </c>
      <c r="C149" s="23">
        <v>70.712000000000003</v>
      </c>
      <c r="D149" s="8">
        <v>1911.989</v>
      </c>
      <c r="E149" s="9">
        <v>0</v>
      </c>
      <c r="F149" s="8">
        <v>-475.77199999999999</v>
      </c>
      <c r="G149" s="8">
        <v>-44.555</v>
      </c>
      <c r="H149" s="8">
        <v>-63.548000000000002</v>
      </c>
      <c r="I149" s="8">
        <f>-213.426-129.98</f>
        <v>-343.40599999999995</v>
      </c>
      <c r="J149" s="8">
        <f t="shared" si="15"/>
        <v>984.70800000000008</v>
      </c>
      <c r="K149" s="8">
        <f t="shared" si="29"/>
        <v>-551.03200000000004</v>
      </c>
      <c r="L149" s="8">
        <f t="shared" si="18"/>
        <v>433.67600000000004</v>
      </c>
      <c r="M149" s="8">
        <v>-167.977</v>
      </c>
      <c r="N149" s="15">
        <v>0.156</v>
      </c>
      <c r="O149" s="15">
        <f t="shared" si="19"/>
        <v>265.85500000000008</v>
      </c>
      <c r="P149" s="15">
        <f t="shared" si="20"/>
        <v>368.52699999999987</v>
      </c>
      <c r="Q149" s="15">
        <v>634.38199999999995</v>
      </c>
      <c r="R149" s="15">
        <v>551.03200000000004</v>
      </c>
      <c r="S149" s="15">
        <f t="shared" si="21"/>
        <v>-211.06100000000004</v>
      </c>
      <c r="T149" s="15">
        <v>974.35299999999995</v>
      </c>
      <c r="U149" s="11">
        <v>2065.0549999999998</v>
      </c>
      <c r="V149" s="13">
        <v>27</v>
      </c>
    </row>
    <row r="150" spans="1:22" x14ac:dyDescent="0.3">
      <c r="A150" s="19" t="s">
        <v>22</v>
      </c>
      <c r="B150" s="3">
        <v>2015</v>
      </c>
      <c r="C150" s="23">
        <f>509.328/6</f>
        <v>84.887999999999991</v>
      </c>
      <c r="D150" s="8">
        <v>1089.644</v>
      </c>
      <c r="E150" s="11">
        <v>0</v>
      </c>
      <c r="F150" s="8">
        <f>-136.363-396.739</f>
        <v>-533.10199999999998</v>
      </c>
      <c r="G150" s="8">
        <v>-33.86</v>
      </c>
      <c r="H150" s="8">
        <v>-21.405999999999999</v>
      </c>
      <c r="I150" s="8">
        <f>-194.015-115.866</f>
        <v>-309.88099999999997</v>
      </c>
      <c r="J150" s="8">
        <f t="shared" si="15"/>
        <v>191.39500000000004</v>
      </c>
      <c r="K150" s="8">
        <f>-R150</f>
        <v>-581.15499999999997</v>
      </c>
      <c r="L150" s="8">
        <f t="shared" si="18"/>
        <v>-389.75999999999993</v>
      </c>
      <c r="M150" s="8">
        <v>-166.43899999999999</v>
      </c>
      <c r="N150" s="15">
        <v>-0.1</v>
      </c>
      <c r="O150" s="15">
        <f t="shared" si="19"/>
        <v>-556.29899999999998</v>
      </c>
      <c r="P150" s="15">
        <f t="shared" si="20"/>
        <v>-157.38599999999997</v>
      </c>
      <c r="Q150" s="15">
        <v>-713.68499999999995</v>
      </c>
      <c r="R150" s="15">
        <v>581.15499999999997</v>
      </c>
      <c r="S150" s="15">
        <f t="shared" si="21"/>
        <v>823.93200000000002</v>
      </c>
      <c r="T150" s="15">
        <v>691.40200000000004</v>
      </c>
      <c r="U150" s="11">
        <v>925.72500000000002</v>
      </c>
      <c r="V150" s="13">
        <v>27</v>
      </c>
    </row>
    <row r="151" spans="1:22" x14ac:dyDescent="0.3">
      <c r="A151" s="21" t="s">
        <v>22</v>
      </c>
      <c r="B151" s="94">
        <v>2016</v>
      </c>
      <c r="C151" s="95">
        <f>564.42/6</f>
        <v>94.07</v>
      </c>
      <c r="D151" s="96">
        <v>1197.2149999999999</v>
      </c>
      <c r="E151" s="97">
        <v>0</v>
      </c>
      <c r="F151" s="96">
        <f>-97.388-565.209</f>
        <v>-662.59699999999998</v>
      </c>
      <c r="G151" s="96">
        <v>-25.443000000000001</v>
      </c>
      <c r="H151" s="96">
        <v>-32.325000000000003</v>
      </c>
      <c r="I151" s="96">
        <f>-168.576-184.772</f>
        <v>-353.34799999999996</v>
      </c>
      <c r="J151" s="96">
        <f t="shared" si="15"/>
        <v>123.50200000000001</v>
      </c>
      <c r="K151" s="96">
        <v>-524.10199999999998</v>
      </c>
      <c r="L151" s="96">
        <f t="shared" si="18"/>
        <v>-400.59999999999997</v>
      </c>
      <c r="M151" s="96">
        <v>-168.21299999999999</v>
      </c>
      <c r="N151" s="98">
        <v>0.10199999999999999</v>
      </c>
      <c r="O151" s="98">
        <f t="shared" si="19"/>
        <v>-568.71100000000001</v>
      </c>
      <c r="P151" s="98">
        <f t="shared" si="20"/>
        <v>1090.0990000000002</v>
      </c>
      <c r="Q151" s="98">
        <v>521.38800000000003</v>
      </c>
      <c r="R151" s="98">
        <f>-K151</f>
        <v>524.10199999999998</v>
      </c>
      <c r="S151" s="98">
        <f t="shared" si="21"/>
        <v>-658.42200000000003</v>
      </c>
      <c r="T151" s="98">
        <v>387.06799999999998</v>
      </c>
      <c r="U151" s="97">
        <v>3701.1529999999998</v>
      </c>
      <c r="V151" s="13">
        <v>17</v>
      </c>
    </row>
    <row r="152" spans="1:22" x14ac:dyDescent="0.3">
      <c r="A152" s="19" t="s">
        <v>19</v>
      </c>
      <c r="B152" s="3">
        <v>2007</v>
      </c>
      <c r="C152" s="23">
        <v>18.927500000000002</v>
      </c>
      <c r="D152" s="8"/>
      <c r="E152" s="9"/>
      <c r="F152" s="8">
        <v>0</v>
      </c>
      <c r="G152" s="8">
        <v>0</v>
      </c>
      <c r="H152" s="8">
        <v>0</v>
      </c>
      <c r="I152" s="8">
        <v>0</v>
      </c>
      <c r="J152" s="8">
        <f t="shared" si="15"/>
        <v>0</v>
      </c>
      <c r="K152" s="8"/>
      <c r="L152" s="8">
        <f t="shared" si="18"/>
        <v>0</v>
      </c>
      <c r="M152" s="8">
        <v>0</v>
      </c>
      <c r="N152" s="8">
        <v>0</v>
      </c>
      <c r="O152" s="8">
        <f t="shared" si="19"/>
        <v>0</v>
      </c>
      <c r="P152" s="8">
        <f t="shared" si="20"/>
        <v>0</v>
      </c>
      <c r="Q152" s="8"/>
      <c r="R152" s="8">
        <v>0</v>
      </c>
      <c r="S152" s="8">
        <f t="shared" si="21"/>
        <v>0</v>
      </c>
      <c r="T152" s="8"/>
      <c r="U152" s="9"/>
      <c r="V152" s="13">
        <v>0</v>
      </c>
    </row>
    <row r="153" spans="1:22" x14ac:dyDescent="0.3">
      <c r="A153" s="19" t="s">
        <v>19</v>
      </c>
      <c r="B153" s="3">
        <v>2008</v>
      </c>
      <c r="C153" s="23">
        <v>32.42916666666666</v>
      </c>
      <c r="D153" s="8"/>
      <c r="E153" s="11"/>
      <c r="F153" s="8">
        <v>0</v>
      </c>
      <c r="G153" s="8">
        <v>0</v>
      </c>
      <c r="H153" s="8">
        <v>0</v>
      </c>
      <c r="I153" s="8">
        <v>0</v>
      </c>
      <c r="J153" s="8">
        <f t="shared" ref="J153:J158" si="30">SUM(D153:I153)</f>
        <v>0</v>
      </c>
      <c r="K153" s="8"/>
      <c r="L153" s="8">
        <f t="shared" si="18"/>
        <v>0</v>
      </c>
      <c r="M153" s="8">
        <v>0</v>
      </c>
      <c r="N153" s="8">
        <v>0</v>
      </c>
      <c r="O153" s="8">
        <f t="shared" si="19"/>
        <v>0</v>
      </c>
      <c r="P153" s="8">
        <f t="shared" si="20"/>
        <v>0</v>
      </c>
      <c r="Q153" s="8"/>
      <c r="R153" s="8">
        <v>0</v>
      </c>
      <c r="S153" s="8">
        <f t="shared" si="21"/>
        <v>0</v>
      </c>
      <c r="T153" s="8"/>
      <c r="U153" s="9"/>
      <c r="V153" s="13">
        <v>0</v>
      </c>
    </row>
    <row r="154" spans="1:22" x14ac:dyDescent="0.3">
      <c r="A154" s="19" t="s">
        <v>19</v>
      </c>
      <c r="B154" s="3">
        <v>2009</v>
      </c>
      <c r="C154" s="23">
        <v>50.073666666666668</v>
      </c>
      <c r="D154" s="10">
        <v>1582.596</v>
      </c>
      <c r="E154" s="11">
        <v>562.94399999999996</v>
      </c>
      <c r="F154" s="8">
        <v>-561.00300000000004</v>
      </c>
      <c r="G154" s="8">
        <v>-37.28</v>
      </c>
      <c r="H154" s="8">
        <v>0</v>
      </c>
      <c r="I154" s="8">
        <v>-122.61799999999999</v>
      </c>
      <c r="J154" s="8">
        <f t="shared" si="30"/>
        <v>1424.6389999999999</v>
      </c>
      <c r="K154" s="8">
        <v>-474.01400000000001</v>
      </c>
      <c r="L154" s="8">
        <f t="shared" si="18"/>
        <v>950.62499999999989</v>
      </c>
      <c r="M154" s="8">
        <v>-16.452999999999999</v>
      </c>
      <c r="N154" s="14">
        <v>64.968999999999994</v>
      </c>
      <c r="O154" s="14">
        <f t="shared" si="19"/>
        <v>999.14099999999985</v>
      </c>
      <c r="P154" s="14">
        <f t="shared" si="20"/>
        <v>-1034.9329999999998</v>
      </c>
      <c r="Q154" s="14">
        <v>-35.792000000000002</v>
      </c>
      <c r="R154" s="14">
        <v>493.65800000000002</v>
      </c>
      <c r="S154" s="14">
        <f t="shared" si="21"/>
        <v>901.51</v>
      </c>
      <c r="T154" s="14">
        <f>1359.376</f>
        <v>1359.376</v>
      </c>
      <c r="U154" s="9">
        <v>1529.876</v>
      </c>
      <c r="V154" s="13">
        <v>0</v>
      </c>
    </row>
    <row r="155" spans="1:22" x14ac:dyDescent="0.3">
      <c r="A155" s="19" t="s">
        <v>19</v>
      </c>
      <c r="B155" s="3">
        <v>2010</v>
      </c>
      <c r="C155" s="23">
        <v>67.443666666666672</v>
      </c>
      <c r="D155" s="10">
        <v>1871.835</v>
      </c>
      <c r="E155" s="11">
        <v>738.82799999999997</v>
      </c>
      <c r="F155" s="8">
        <v>-376.93900000000002</v>
      </c>
      <c r="G155" s="8">
        <v>-50.607999999999997</v>
      </c>
      <c r="H155" s="8">
        <v>0</v>
      </c>
      <c r="I155" s="8">
        <v>-145.56299999999999</v>
      </c>
      <c r="J155" s="8">
        <f t="shared" si="30"/>
        <v>2037.5529999999999</v>
      </c>
      <c r="K155" s="8">
        <v>-561.00300000000004</v>
      </c>
      <c r="L155" s="8">
        <f t="shared" si="18"/>
        <v>1476.5499999999997</v>
      </c>
      <c r="M155" s="8">
        <v>-24.048999999999999</v>
      </c>
      <c r="N155" s="14">
        <v>-11.939</v>
      </c>
      <c r="O155" s="14">
        <f t="shared" si="19"/>
        <v>1440.5619999999997</v>
      </c>
      <c r="P155" s="14">
        <f t="shared" si="20"/>
        <v>-836.7289999999997</v>
      </c>
      <c r="Q155" s="14">
        <v>603.83299999999997</v>
      </c>
      <c r="R155" s="14">
        <v>590.33199999999999</v>
      </c>
      <c r="S155" s="14">
        <f t="shared" si="21"/>
        <v>448.42000000000007</v>
      </c>
      <c r="T155" s="14">
        <f>1642.585</f>
        <v>1642.585</v>
      </c>
      <c r="U155" s="9">
        <v>1781.424</v>
      </c>
      <c r="V155" s="13">
        <v>0</v>
      </c>
    </row>
    <row r="156" spans="1:22" x14ac:dyDescent="0.3">
      <c r="A156" s="19" t="s">
        <v>19</v>
      </c>
      <c r="B156" s="3">
        <v>2011</v>
      </c>
      <c r="C156" s="23">
        <v>83.335833333333326</v>
      </c>
      <c r="D156" s="10">
        <v>2088.7629999999999</v>
      </c>
      <c r="E156" s="9">
        <v>864.096</v>
      </c>
      <c r="F156" s="8">
        <v>-469.15300000000002</v>
      </c>
      <c r="G156" s="8">
        <v>-65.518000000000001</v>
      </c>
      <c r="H156" s="8">
        <v>0</v>
      </c>
      <c r="I156" s="8">
        <v>-158.041</v>
      </c>
      <c r="J156" s="8">
        <f t="shared" si="30"/>
        <v>2260.1469999999999</v>
      </c>
      <c r="K156" s="8">
        <v>-666.10699999999997</v>
      </c>
      <c r="L156" s="8">
        <f t="shared" si="18"/>
        <v>1594.04</v>
      </c>
      <c r="M156" s="8">
        <v>-19.158999999999999</v>
      </c>
      <c r="N156" s="14">
        <v>-4.1980000000000004</v>
      </c>
      <c r="O156" s="14">
        <f t="shared" si="19"/>
        <v>1570.6829999999998</v>
      </c>
      <c r="P156" s="14">
        <f t="shared" si="20"/>
        <v>-932.91399999999976</v>
      </c>
      <c r="Q156" s="14">
        <v>637.76900000000001</v>
      </c>
      <c r="R156" s="14">
        <v>704.51099999999997</v>
      </c>
      <c r="S156" s="14">
        <f t="shared" si="21"/>
        <v>397.53700000000003</v>
      </c>
      <c r="T156" s="14">
        <f>1739.817</f>
        <v>1739.817</v>
      </c>
      <c r="U156" s="9">
        <v>1960.106</v>
      </c>
      <c r="V156" s="13">
        <v>0</v>
      </c>
    </row>
    <row r="157" spans="1:22" x14ac:dyDescent="0.3">
      <c r="A157" s="20" t="s">
        <v>19</v>
      </c>
      <c r="B157" s="4">
        <v>2012</v>
      </c>
      <c r="C157" s="24">
        <v>94.163666666666671</v>
      </c>
      <c r="D157" s="10">
        <v>1965</v>
      </c>
      <c r="E157" s="9">
        <v>765</v>
      </c>
      <c r="F157" s="10">
        <v>-505</v>
      </c>
      <c r="G157" s="10">
        <v>-68</v>
      </c>
      <c r="H157" s="10">
        <v>0</v>
      </c>
      <c r="I157" s="10">
        <v>-175</v>
      </c>
      <c r="J157" s="10">
        <f t="shared" si="30"/>
        <v>1982</v>
      </c>
      <c r="K157" s="10">
        <v>-765</v>
      </c>
      <c r="L157" s="8">
        <f t="shared" si="18"/>
        <v>1217</v>
      </c>
      <c r="M157" s="10">
        <v>-97</v>
      </c>
      <c r="N157" s="14">
        <v>-0.81799999999999995</v>
      </c>
      <c r="O157" s="14">
        <f t="shared" si="19"/>
        <v>1119.182</v>
      </c>
      <c r="P157" s="14">
        <f t="shared" si="20"/>
        <v>-1826.182</v>
      </c>
      <c r="Q157" s="14">
        <v>-707</v>
      </c>
      <c r="R157" s="14">
        <v>811</v>
      </c>
      <c r="S157" s="14">
        <f t="shared" si="21"/>
        <v>1550</v>
      </c>
      <c r="T157" s="14">
        <f>1654</f>
        <v>1654</v>
      </c>
      <c r="U157" s="9">
        <v>1911</v>
      </c>
      <c r="V157" s="13">
        <v>0</v>
      </c>
    </row>
    <row r="158" spans="1:22" x14ac:dyDescent="0.3">
      <c r="A158" s="19" t="s">
        <v>19</v>
      </c>
      <c r="B158" s="3">
        <v>2013</v>
      </c>
      <c r="C158" s="23">
        <v>109.47199999999999</v>
      </c>
      <c r="D158" s="8">
        <v>2404</v>
      </c>
      <c r="E158" s="9">
        <v>973</v>
      </c>
      <c r="F158" s="8">
        <v>-629</v>
      </c>
      <c r="G158" s="8">
        <v>-79</v>
      </c>
      <c r="H158" s="8">
        <v>0</v>
      </c>
      <c r="I158" s="8">
        <v>-191</v>
      </c>
      <c r="J158" s="8">
        <f t="shared" si="30"/>
        <v>2478</v>
      </c>
      <c r="K158" s="8">
        <v>-735</v>
      </c>
      <c r="L158" s="8">
        <f t="shared" si="18"/>
        <v>1743</v>
      </c>
      <c r="M158" s="8">
        <v>-104</v>
      </c>
      <c r="N158" s="15">
        <v>-18.786999999999999</v>
      </c>
      <c r="O158" s="15">
        <f t="shared" si="19"/>
        <v>1620.213</v>
      </c>
      <c r="P158" s="15">
        <f t="shared" si="20"/>
        <v>-916.21299999999997</v>
      </c>
      <c r="Q158" s="14">
        <v>704</v>
      </c>
      <c r="R158" s="14">
        <v>787</v>
      </c>
      <c r="S158" s="14">
        <f t="shared" si="21"/>
        <v>418</v>
      </c>
      <c r="T158" s="14">
        <f>1909</f>
        <v>1909</v>
      </c>
      <c r="U158" s="11">
        <v>2023</v>
      </c>
      <c r="V158" s="13">
        <v>0</v>
      </c>
    </row>
    <row r="159" spans="1:22" x14ac:dyDescent="0.3">
      <c r="A159" s="19" t="s">
        <v>19</v>
      </c>
      <c r="B159" s="3">
        <v>2014</v>
      </c>
      <c r="C159" s="23">
        <v>127.996</v>
      </c>
      <c r="D159" s="8">
        <v>2862</v>
      </c>
      <c r="E159" s="9">
        <v>1188</v>
      </c>
      <c r="F159" s="8">
        <v>-776</v>
      </c>
      <c r="G159" s="8">
        <v>-95</v>
      </c>
      <c r="H159" s="8">
        <v>0</v>
      </c>
      <c r="I159" s="8">
        <v>-221</v>
      </c>
      <c r="J159" s="8">
        <f t="shared" ref="J159:J161" si="31">SUM(D159:I159)</f>
        <v>2958</v>
      </c>
      <c r="K159" s="8">
        <v>-884</v>
      </c>
      <c r="L159" s="8">
        <f t="shared" ref="L159:L161" si="32">+SUM(J159:K159)</f>
        <v>2074</v>
      </c>
      <c r="M159" s="8">
        <v>-114</v>
      </c>
      <c r="N159" s="15">
        <v>-28</v>
      </c>
      <c r="O159" s="15">
        <f t="shared" ref="O159:O161" si="33">+SUM(L159:N159)</f>
        <v>1932</v>
      </c>
      <c r="P159" s="15">
        <f t="shared" ref="P159:P161" si="34">+Q159-O159</f>
        <v>-1008</v>
      </c>
      <c r="Q159" s="15">
        <v>924</v>
      </c>
      <c r="R159" s="15">
        <v>942</v>
      </c>
      <c r="S159" s="15">
        <f t="shared" ref="S159:S161" si="35">+T159-SUM(Q159:R159)</f>
        <v>469</v>
      </c>
      <c r="T159" s="15">
        <f>2335</f>
        <v>2335</v>
      </c>
      <c r="U159" s="11">
        <v>7221</v>
      </c>
      <c r="V159" s="13">
        <v>0</v>
      </c>
    </row>
    <row r="160" spans="1:22" x14ac:dyDescent="0.3">
      <c r="A160" s="19" t="s">
        <v>19</v>
      </c>
      <c r="B160" s="3">
        <v>2015</v>
      </c>
      <c r="C160" s="23">
        <v>162.80033333333333</v>
      </c>
      <c r="D160" s="8">
        <v>2074</v>
      </c>
      <c r="E160" s="11">
        <f>863+175</f>
        <v>1038</v>
      </c>
      <c r="F160" s="8">
        <v>-989</v>
      </c>
      <c r="G160" s="8">
        <v>-110</v>
      </c>
      <c r="H160" s="8">
        <v>0</v>
      </c>
      <c r="I160" s="8">
        <v>-246</v>
      </c>
      <c r="J160" s="8">
        <f t="shared" si="31"/>
        <v>1767</v>
      </c>
      <c r="K160" s="8">
        <v>-1028</v>
      </c>
      <c r="L160" s="8">
        <f t="shared" si="32"/>
        <v>739</v>
      </c>
      <c r="M160" s="8">
        <v>-260</v>
      </c>
      <c r="N160" s="15">
        <v>6</v>
      </c>
      <c r="O160" s="15">
        <f t="shared" si="33"/>
        <v>485</v>
      </c>
      <c r="P160" s="15">
        <f t="shared" si="34"/>
        <v>-5041</v>
      </c>
      <c r="Q160" s="15">
        <v>-4556</v>
      </c>
      <c r="R160" s="15">
        <v>1092</v>
      </c>
      <c r="S160" s="15">
        <f t="shared" si="35"/>
        <v>5044</v>
      </c>
      <c r="T160" s="15">
        <v>1580</v>
      </c>
      <c r="U160" s="11">
        <v>2240</v>
      </c>
      <c r="V160" s="13">
        <v>0</v>
      </c>
    </row>
    <row r="161" spans="1:22" x14ac:dyDescent="0.3">
      <c r="A161" s="21" t="s">
        <v>19</v>
      </c>
      <c r="B161" s="94">
        <v>2016</v>
      </c>
      <c r="C161" s="95">
        <f>131.333333333333+2.192+12.372</f>
        <v>145.89733333333299</v>
      </c>
      <c r="D161" s="96">
        <v>1413</v>
      </c>
      <c r="E161" s="97">
        <f>864+138</f>
        <v>1002</v>
      </c>
      <c r="F161" s="96">
        <v>-839</v>
      </c>
      <c r="G161" s="96">
        <v>-93</v>
      </c>
      <c r="H161" s="96">
        <v>0</v>
      </c>
      <c r="I161" s="96">
        <v>-247</v>
      </c>
      <c r="J161" s="96">
        <f t="shared" si="31"/>
        <v>1236</v>
      </c>
      <c r="K161" s="96">
        <v>-378</v>
      </c>
      <c r="L161" s="96">
        <f t="shared" si="32"/>
        <v>858</v>
      </c>
      <c r="M161" s="96">
        <v>-240</v>
      </c>
      <c r="N161" s="98">
        <v>15</v>
      </c>
      <c r="O161" s="98">
        <f t="shared" si="33"/>
        <v>633</v>
      </c>
      <c r="P161" s="98">
        <f t="shared" si="34"/>
        <v>-3276</v>
      </c>
      <c r="Q161" s="98">
        <v>-2643</v>
      </c>
      <c r="R161" s="98">
        <v>436</v>
      </c>
      <c r="S161" s="98">
        <f t="shared" si="35"/>
        <v>2705</v>
      </c>
      <c r="T161" s="98">
        <v>498</v>
      </c>
      <c r="U161" s="97">
        <v>621</v>
      </c>
      <c r="V161" s="13">
        <v>0</v>
      </c>
    </row>
    <row r="167" spans="1:22" x14ac:dyDescent="0.3">
      <c r="F167" s="18"/>
      <c r="G167" s="18"/>
      <c r="H167" s="18"/>
      <c r="I167" s="18"/>
      <c r="J167" s="18"/>
      <c r="K167" s="18"/>
      <c r="L167" s="18"/>
      <c r="M167" s="18"/>
      <c r="N167" s="18"/>
      <c r="O167" s="18"/>
      <c r="P167" s="18"/>
      <c r="Q167" s="18"/>
      <c r="R167" s="18"/>
      <c r="S167" s="18"/>
      <c r="T167" s="18"/>
      <c r="U167" s="18"/>
    </row>
    <row r="168" spans="1:22" x14ac:dyDescent="0.3">
      <c r="F168" s="18"/>
      <c r="G168" s="18"/>
      <c r="H168" s="18"/>
      <c r="I168" s="18"/>
      <c r="J168" s="18"/>
      <c r="K168" s="18"/>
      <c r="L168" s="18"/>
      <c r="M168" s="18"/>
      <c r="N168" s="18"/>
      <c r="O168" s="18"/>
      <c r="P168" s="18"/>
      <c r="Q168" s="18"/>
      <c r="R168" s="18"/>
      <c r="S168" s="18"/>
      <c r="T168" s="18"/>
      <c r="U168" s="18"/>
    </row>
    <row r="169" spans="1:22" x14ac:dyDescent="0.3">
      <c r="F169" s="18"/>
      <c r="G169" s="18"/>
      <c r="H169" s="18"/>
      <c r="I169" s="18"/>
      <c r="J169" s="18"/>
      <c r="K169" s="18"/>
      <c r="L169" s="18"/>
      <c r="M169" s="18"/>
      <c r="N169" s="18"/>
      <c r="O169" s="18"/>
      <c r="P169" s="18"/>
      <c r="Q169" s="18"/>
      <c r="R169" s="18"/>
      <c r="S169" s="18"/>
      <c r="T169" s="18"/>
      <c r="U169" s="18"/>
    </row>
    <row r="179" spans="3:20" x14ac:dyDescent="0.3">
      <c r="C179" s="13"/>
      <c r="D179" s="13"/>
      <c r="F179" s="13"/>
      <c r="G179" s="13"/>
      <c r="H179" s="13"/>
      <c r="I179" s="13"/>
      <c r="J179" s="13"/>
      <c r="K179" s="13"/>
      <c r="L179" s="13"/>
      <c r="M179" s="13"/>
      <c r="N179" s="13"/>
      <c r="O179" s="13"/>
      <c r="P179" s="13"/>
      <c r="Q179" s="13"/>
      <c r="R179" s="13"/>
      <c r="S179" s="13"/>
      <c r="T179" s="13"/>
    </row>
    <row r="180" spans="3:20" x14ac:dyDescent="0.3">
      <c r="C180" s="13"/>
      <c r="D180" s="13"/>
      <c r="F180" s="13"/>
      <c r="G180" s="13"/>
      <c r="H180" s="13"/>
      <c r="I180" s="13"/>
      <c r="J180" s="13"/>
      <c r="K180" s="13"/>
      <c r="L180" s="13"/>
      <c r="M180" s="13"/>
      <c r="N180" s="13"/>
      <c r="O180" s="13"/>
      <c r="P180" s="13"/>
      <c r="Q180" s="13"/>
      <c r="R180" s="13"/>
      <c r="S180" s="13"/>
      <c r="T180" s="13"/>
    </row>
    <row r="181" spans="3:20" x14ac:dyDescent="0.3">
      <c r="C181" s="13"/>
      <c r="D181" s="13"/>
      <c r="F181" s="13"/>
      <c r="G181" s="13"/>
      <c r="H181" s="13"/>
      <c r="I181" s="13"/>
      <c r="J181" s="13"/>
      <c r="K181" s="13"/>
      <c r="L181" s="13"/>
      <c r="M181" s="13"/>
      <c r="N181" s="13"/>
      <c r="O181" s="13"/>
      <c r="P181" s="13"/>
      <c r="Q181" s="13"/>
      <c r="R181" s="13"/>
      <c r="S181" s="13"/>
      <c r="T181" s="13"/>
    </row>
    <row r="182" spans="3:20" x14ac:dyDescent="0.3">
      <c r="C182" s="13"/>
      <c r="D182" s="13"/>
      <c r="F182" s="13"/>
      <c r="G182" s="13"/>
      <c r="H182" s="13"/>
      <c r="I182" s="13"/>
      <c r="J182" s="13"/>
      <c r="K182" s="13"/>
      <c r="L182" s="13"/>
      <c r="M182" s="13"/>
      <c r="N182" s="13"/>
      <c r="O182" s="13"/>
      <c r="P182" s="13"/>
      <c r="Q182" s="13"/>
      <c r="R182" s="13"/>
      <c r="S182" s="13"/>
      <c r="T182" s="13"/>
    </row>
    <row r="183" spans="3:20" x14ac:dyDescent="0.3">
      <c r="C183" s="13"/>
      <c r="D183" s="13"/>
      <c r="F183" s="13"/>
      <c r="G183" s="13"/>
      <c r="H183" s="13"/>
      <c r="I183" s="13"/>
      <c r="J183" s="13"/>
      <c r="K183" s="13"/>
      <c r="L183" s="13"/>
      <c r="M183" s="13"/>
      <c r="N183" s="13"/>
      <c r="O183" s="13"/>
      <c r="P183" s="13"/>
      <c r="Q183" s="13"/>
      <c r="R183" s="13"/>
      <c r="S183" s="13"/>
      <c r="T183" s="13"/>
    </row>
    <row r="184" spans="3:20" x14ac:dyDescent="0.3">
      <c r="C184" s="13"/>
      <c r="D184" s="13"/>
      <c r="F184" s="13"/>
      <c r="G184" s="13"/>
      <c r="H184" s="13"/>
      <c r="I184" s="13"/>
      <c r="J184" s="13"/>
      <c r="K184" s="13"/>
      <c r="L184" s="13"/>
      <c r="M184" s="13"/>
      <c r="N184" s="13"/>
      <c r="O184" s="13"/>
      <c r="P184" s="13"/>
      <c r="Q184" s="13"/>
      <c r="R184" s="13"/>
      <c r="S184" s="13"/>
      <c r="T184" s="13"/>
    </row>
    <row r="185" spans="3:20" x14ac:dyDescent="0.3">
      <c r="C185" s="13"/>
      <c r="D185" s="13"/>
      <c r="F185" s="13"/>
      <c r="G185" s="13"/>
      <c r="H185" s="13"/>
      <c r="I185" s="13"/>
      <c r="J185" s="13"/>
      <c r="K185" s="13"/>
      <c r="L185" s="13"/>
      <c r="M185" s="13"/>
      <c r="N185" s="13"/>
      <c r="O185" s="13"/>
      <c r="P185" s="13"/>
      <c r="Q185" s="13"/>
      <c r="R185" s="13"/>
      <c r="S185" s="13"/>
      <c r="T185" s="13"/>
    </row>
    <row r="186" spans="3:20" x14ac:dyDescent="0.3">
      <c r="C186" s="13"/>
      <c r="D186" s="13"/>
      <c r="F186" s="13"/>
      <c r="G186" s="13"/>
      <c r="H186" s="13"/>
      <c r="I186" s="13"/>
      <c r="J186" s="13"/>
      <c r="K186" s="13"/>
      <c r="L186" s="13"/>
      <c r="M186" s="13"/>
      <c r="N186" s="13"/>
      <c r="O186" s="13"/>
      <c r="P186" s="13"/>
      <c r="Q186" s="13"/>
      <c r="R186" s="13"/>
      <c r="S186" s="13"/>
      <c r="T186" s="13"/>
    </row>
    <row r="187" spans="3:20" x14ac:dyDescent="0.3">
      <c r="C187" s="13"/>
      <c r="D187" s="13"/>
      <c r="F187" s="13"/>
      <c r="G187" s="13"/>
      <c r="H187" s="13"/>
      <c r="I187" s="13"/>
      <c r="J187" s="13"/>
      <c r="K187" s="13"/>
      <c r="L187" s="13"/>
      <c r="M187" s="13"/>
      <c r="N187" s="13"/>
      <c r="O187" s="13"/>
      <c r="P187" s="13"/>
      <c r="Q187" s="13"/>
      <c r="R187" s="13"/>
      <c r="S187" s="13"/>
      <c r="T187" s="13"/>
    </row>
    <row r="188" spans="3:20" x14ac:dyDescent="0.3">
      <c r="C188" s="13"/>
      <c r="D188" s="13"/>
      <c r="F188" s="13"/>
      <c r="G188" s="13"/>
      <c r="H188" s="13"/>
      <c r="I188" s="13"/>
      <c r="J188" s="13"/>
      <c r="K188" s="13"/>
      <c r="L188" s="13"/>
      <c r="M188" s="13"/>
      <c r="N188" s="13"/>
      <c r="O188" s="13"/>
      <c r="P188" s="13"/>
      <c r="Q188" s="13"/>
      <c r="R188" s="13"/>
      <c r="S188" s="13"/>
      <c r="T188" s="13"/>
    </row>
    <row r="189" spans="3:20" x14ac:dyDescent="0.3">
      <c r="C189" s="13"/>
      <c r="D189" s="13"/>
      <c r="F189" s="13"/>
      <c r="G189" s="13"/>
      <c r="H189" s="13"/>
      <c r="I189" s="13"/>
      <c r="J189" s="13"/>
      <c r="K189" s="13"/>
      <c r="L189" s="13"/>
      <c r="M189" s="13"/>
      <c r="N189" s="13"/>
      <c r="O189" s="13"/>
      <c r="P189" s="13"/>
      <c r="Q189" s="13"/>
      <c r="R189" s="13"/>
      <c r="S189" s="13"/>
      <c r="T189" s="13"/>
    </row>
    <row r="190" spans="3:20" x14ac:dyDescent="0.3">
      <c r="C190" s="13"/>
      <c r="D190" s="13"/>
      <c r="F190" s="13"/>
      <c r="G190" s="13"/>
      <c r="H190" s="13"/>
      <c r="I190" s="13"/>
      <c r="J190" s="13"/>
      <c r="K190" s="13"/>
      <c r="L190" s="13"/>
      <c r="M190" s="13"/>
      <c r="N190" s="13"/>
      <c r="O190" s="13"/>
      <c r="P190" s="13"/>
      <c r="Q190" s="13"/>
      <c r="R190" s="13"/>
      <c r="S190" s="13"/>
      <c r="T190" s="13"/>
    </row>
    <row r="191" spans="3:20" x14ac:dyDescent="0.3">
      <c r="C191" s="13"/>
      <c r="D191" s="13"/>
      <c r="F191" s="13"/>
      <c r="G191" s="13"/>
      <c r="H191" s="13"/>
      <c r="I191" s="13"/>
      <c r="J191" s="13"/>
      <c r="K191" s="13"/>
      <c r="L191" s="13"/>
      <c r="M191" s="13"/>
      <c r="N191" s="13"/>
      <c r="O191" s="13"/>
      <c r="P191" s="13"/>
      <c r="Q191" s="13"/>
      <c r="R191" s="13"/>
      <c r="S191" s="13"/>
      <c r="T191" s="13"/>
    </row>
    <row r="192" spans="3:20" x14ac:dyDescent="0.3">
      <c r="C192" s="13"/>
      <c r="D192" s="13"/>
      <c r="F192" s="13"/>
      <c r="G192" s="13"/>
      <c r="H192" s="13"/>
      <c r="I192" s="13"/>
      <c r="J192" s="13"/>
      <c r="K192" s="13"/>
      <c r="L192" s="13"/>
      <c r="M192" s="13"/>
      <c r="N192" s="13"/>
      <c r="O192" s="13"/>
      <c r="P192" s="13"/>
      <c r="Q192" s="13"/>
      <c r="R192" s="13"/>
      <c r="S192" s="13"/>
      <c r="T192" s="13"/>
    </row>
    <row r="193" spans="3:20" x14ac:dyDescent="0.3">
      <c r="C193" s="13"/>
      <c r="D193" s="13"/>
      <c r="F193" s="13"/>
      <c r="G193" s="13"/>
      <c r="H193" s="13"/>
      <c r="I193" s="13"/>
      <c r="J193" s="13"/>
      <c r="K193" s="13"/>
      <c r="L193" s="13"/>
      <c r="M193" s="13"/>
      <c r="N193" s="13"/>
      <c r="O193" s="13"/>
      <c r="P193" s="13"/>
      <c r="Q193" s="13"/>
      <c r="R193" s="13"/>
      <c r="S193" s="13"/>
      <c r="T193" s="13"/>
    </row>
    <row r="194" spans="3:20" x14ac:dyDescent="0.3">
      <c r="C194" s="13"/>
      <c r="D194" s="13"/>
      <c r="F194" s="13"/>
      <c r="G194" s="13"/>
      <c r="H194" s="13"/>
      <c r="I194" s="13"/>
      <c r="J194" s="13"/>
      <c r="K194" s="13"/>
      <c r="L194" s="13"/>
      <c r="M194" s="13"/>
      <c r="N194" s="13"/>
      <c r="O194" s="13"/>
      <c r="P194" s="13"/>
      <c r="Q194" s="13"/>
      <c r="R194" s="13"/>
      <c r="S194" s="13"/>
      <c r="T194" s="13"/>
    </row>
    <row r="195" spans="3:20" x14ac:dyDescent="0.3">
      <c r="C195" s="13"/>
      <c r="D195" s="13"/>
      <c r="F195" s="13"/>
      <c r="G195" s="13"/>
      <c r="H195" s="13"/>
      <c r="I195" s="13"/>
      <c r="J195" s="13"/>
      <c r="K195" s="13"/>
      <c r="L195" s="13"/>
      <c r="M195" s="13"/>
      <c r="N195" s="13"/>
      <c r="O195" s="13"/>
      <c r="P195" s="13"/>
      <c r="Q195" s="13"/>
      <c r="R195" s="13"/>
      <c r="S195" s="13"/>
      <c r="T195" s="13"/>
    </row>
    <row r="196" spans="3:20" x14ac:dyDescent="0.3">
      <c r="C196" s="13"/>
      <c r="D196" s="13"/>
      <c r="F196" s="13"/>
      <c r="G196" s="13"/>
      <c r="H196" s="13"/>
      <c r="I196" s="13"/>
      <c r="J196" s="13"/>
      <c r="K196" s="13"/>
      <c r="L196" s="13"/>
      <c r="M196" s="13"/>
      <c r="N196" s="13"/>
      <c r="O196" s="13"/>
      <c r="P196" s="13"/>
      <c r="Q196" s="13"/>
      <c r="R196" s="13"/>
      <c r="S196" s="13"/>
      <c r="T196" s="13"/>
    </row>
    <row r="197" spans="3:20" x14ac:dyDescent="0.3">
      <c r="C197" s="13"/>
      <c r="D197" s="13"/>
      <c r="F197" s="13"/>
      <c r="G197" s="13"/>
      <c r="H197" s="13"/>
      <c r="I197" s="13"/>
      <c r="J197" s="13"/>
      <c r="K197" s="13"/>
      <c r="L197" s="13"/>
      <c r="M197" s="13"/>
      <c r="N197" s="13"/>
      <c r="O197" s="13"/>
      <c r="P197" s="13"/>
      <c r="Q197" s="13"/>
      <c r="R197" s="13"/>
      <c r="S197" s="13"/>
      <c r="T197" s="13"/>
    </row>
    <row r="198" spans="3:20" x14ac:dyDescent="0.3">
      <c r="C198" s="13"/>
      <c r="D198" s="13"/>
      <c r="F198" s="13"/>
      <c r="G198" s="13"/>
      <c r="H198" s="13"/>
      <c r="I198" s="13"/>
      <c r="J198" s="13"/>
      <c r="K198" s="13"/>
      <c r="L198" s="13"/>
      <c r="M198" s="13"/>
      <c r="N198" s="13"/>
      <c r="O198" s="13"/>
      <c r="P198" s="13"/>
      <c r="Q198" s="13"/>
      <c r="R198" s="13"/>
      <c r="S198" s="13"/>
      <c r="T198" s="13"/>
    </row>
    <row r="199" spans="3:20" x14ac:dyDescent="0.3">
      <c r="C199" s="13"/>
      <c r="D199" s="13"/>
      <c r="F199" s="13"/>
      <c r="G199" s="13"/>
      <c r="H199" s="13"/>
      <c r="I199" s="13"/>
      <c r="J199" s="13"/>
      <c r="K199" s="13"/>
      <c r="L199" s="13"/>
      <c r="M199" s="13"/>
      <c r="N199" s="13"/>
      <c r="O199" s="13"/>
      <c r="P199" s="13"/>
      <c r="Q199" s="13"/>
      <c r="R199" s="13"/>
      <c r="S199" s="13"/>
      <c r="T199" s="13"/>
    </row>
    <row r="200" spans="3:20" x14ac:dyDescent="0.3">
      <c r="C200" s="13"/>
      <c r="D200" s="13"/>
      <c r="F200" s="13"/>
      <c r="G200" s="13"/>
      <c r="H200" s="13"/>
      <c r="I200" s="13"/>
      <c r="J200" s="13"/>
      <c r="K200" s="13"/>
      <c r="L200" s="13"/>
      <c r="M200" s="13"/>
      <c r="N200" s="13"/>
      <c r="O200" s="13"/>
      <c r="P200" s="13"/>
      <c r="Q200" s="13"/>
      <c r="R200" s="13"/>
      <c r="S200" s="13"/>
      <c r="T200" s="13"/>
    </row>
    <row r="201" spans="3:20" x14ac:dyDescent="0.3">
      <c r="C201" s="13"/>
      <c r="D201" s="13"/>
      <c r="F201" s="13"/>
      <c r="G201" s="13"/>
      <c r="H201" s="13"/>
      <c r="I201" s="13"/>
      <c r="J201" s="13"/>
      <c r="K201" s="13"/>
      <c r="L201" s="13"/>
      <c r="M201" s="13"/>
      <c r="N201" s="13"/>
      <c r="O201" s="13"/>
      <c r="P201" s="13"/>
      <c r="Q201" s="13"/>
      <c r="R201" s="13"/>
      <c r="S201" s="13"/>
      <c r="T201" s="13"/>
    </row>
    <row r="202" spans="3:20" x14ac:dyDescent="0.3">
      <c r="C202" s="13"/>
      <c r="D202" s="13"/>
      <c r="F202" s="13"/>
      <c r="G202" s="13"/>
      <c r="H202" s="13"/>
      <c r="I202" s="13"/>
      <c r="J202" s="13"/>
      <c r="K202" s="13"/>
      <c r="L202" s="13"/>
      <c r="M202" s="13"/>
      <c r="N202" s="13"/>
      <c r="O202" s="13"/>
      <c r="P202" s="13"/>
      <c r="Q202" s="13"/>
      <c r="R202" s="13"/>
      <c r="S202" s="13"/>
      <c r="T202" s="13"/>
    </row>
    <row r="203" spans="3:20" x14ac:dyDescent="0.3">
      <c r="C203" s="13"/>
      <c r="D203" s="13"/>
      <c r="F203" s="13"/>
      <c r="G203" s="13"/>
      <c r="H203" s="13"/>
      <c r="I203" s="13"/>
      <c r="J203" s="13"/>
      <c r="K203" s="13"/>
      <c r="L203" s="13"/>
      <c r="M203" s="13"/>
      <c r="N203" s="13"/>
      <c r="O203" s="13"/>
      <c r="P203" s="13"/>
      <c r="Q203" s="13"/>
      <c r="R203" s="13"/>
      <c r="S203" s="13"/>
      <c r="T203" s="13"/>
    </row>
    <row r="204" spans="3:20" x14ac:dyDescent="0.3">
      <c r="C204" s="13"/>
      <c r="D204" s="13"/>
      <c r="F204" s="13"/>
      <c r="G204" s="13"/>
      <c r="H204" s="13"/>
      <c r="I204" s="13"/>
      <c r="J204" s="13"/>
      <c r="K204" s="13"/>
      <c r="L204" s="13"/>
      <c r="M204" s="13"/>
      <c r="N204" s="13"/>
      <c r="O204" s="13"/>
      <c r="P204" s="13"/>
      <c r="Q204" s="13"/>
      <c r="R204" s="13"/>
      <c r="S204" s="13"/>
      <c r="T204" s="13"/>
    </row>
    <row r="205" spans="3:20" x14ac:dyDescent="0.3">
      <c r="C205" s="13"/>
      <c r="D205" s="13"/>
      <c r="F205" s="13"/>
      <c r="G205" s="13"/>
      <c r="H205" s="13"/>
      <c r="I205" s="13"/>
      <c r="J205" s="13"/>
      <c r="K205" s="13"/>
      <c r="L205" s="13"/>
      <c r="M205" s="13"/>
      <c r="N205" s="13"/>
      <c r="O205" s="13"/>
      <c r="P205" s="13"/>
      <c r="Q205" s="13"/>
      <c r="R205" s="13"/>
      <c r="S205" s="13"/>
      <c r="T205" s="13"/>
    </row>
  </sheetData>
  <pageMargins left="0.7" right="0.7" top="0.75" bottom="0.75" header="0.3" footer="0.3"/>
  <pageSetup orientation="portrait" r:id="rId6"/>
  <ignoredErrors>
    <ignoredError sqref="J72:J79 J32:J38 J52:J59" formulaRange="1"/>
  </ignoredErrors>
  <drawing r:id="rId7"/>
  <legacyDrawing r:id="rId8"/>
  <extLst>
    <ext xmlns:x14="http://schemas.microsoft.com/office/spreadsheetml/2009/9/main" uri="{A8765BA9-456A-4dab-B4F3-ACF838C121DE}">
      <x14:slicerList>
        <x14:slicer r:id="rId9"/>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zoomScaleNormal="100" workbookViewId="0">
      <selection activeCell="I20" sqref="I20"/>
    </sheetView>
  </sheetViews>
  <sheetFormatPr defaultColWidth="9.109375" defaultRowHeight="14.4" x14ac:dyDescent="0.3"/>
  <cols>
    <col min="1" max="16384" width="9.109375" style="26"/>
  </cols>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Y118"/>
  <sheetViews>
    <sheetView topLeftCell="T10" workbookViewId="0">
      <selection activeCell="Z23" sqref="Z23"/>
    </sheetView>
  </sheetViews>
  <sheetFormatPr defaultRowHeight="14.4" x14ac:dyDescent="0.3"/>
  <cols>
    <col min="3" max="3" width="11" bestFit="1" customWidth="1"/>
    <col min="13" max="14" width="9.6640625" customWidth="1"/>
    <col min="15" max="15" width="10" bestFit="1" customWidth="1"/>
  </cols>
  <sheetData>
    <row r="1" spans="1:46" x14ac:dyDescent="0.3">
      <c r="A1" s="1" t="s">
        <v>60</v>
      </c>
      <c r="B1" s="7" t="s">
        <v>6</v>
      </c>
      <c r="C1" s="43" t="s">
        <v>7</v>
      </c>
      <c r="E1" s="31" t="s">
        <v>70</v>
      </c>
      <c r="F1" s="7" t="s">
        <v>6</v>
      </c>
      <c r="G1" s="43" t="s">
        <v>7</v>
      </c>
      <c r="I1" s="7" t="s">
        <v>50</v>
      </c>
      <c r="J1" s="17" t="s">
        <v>8</v>
      </c>
    </row>
    <row r="2" spans="1:46" x14ac:dyDescent="0.3">
      <c r="A2" s="19" t="s">
        <v>12</v>
      </c>
      <c r="B2" s="8"/>
      <c r="C2" s="44"/>
      <c r="E2" s="51"/>
      <c r="F2" s="8"/>
      <c r="G2" s="44"/>
      <c r="I2" s="8">
        <v>0</v>
      </c>
      <c r="J2" s="8"/>
      <c r="M2" t="s">
        <v>72</v>
      </c>
    </row>
    <row r="3" spans="1:46" x14ac:dyDescent="0.3">
      <c r="A3" s="19" t="s">
        <v>12</v>
      </c>
      <c r="B3" s="8"/>
      <c r="C3" s="44"/>
      <c r="E3" s="51"/>
      <c r="F3" s="8"/>
      <c r="G3" s="44"/>
      <c r="I3" s="8">
        <v>0</v>
      </c>
      <c r="J3" s="8"/>
      <c r="M3">
        <v>2016</v>
      </c>
      <c r="Q3">
        <v>2015</v>
      </c>
      <c r="U3">
        <v>2014</v>
      </c>
      <c r="Y3">
        <v>2013</v>
      </c>
      <c r="AC3">
        <v>2012</v>
      </c>
      <c r="AG3">
        <v>2011</v>
      </c>
      <c r="AK3">
        <v>2010</v>
      </c>
      <c r="AO3">
        <v>2009</v>
      </c>
    </row>
    <row r="4" spans="1:46" x14ac:dyDescent="0.3">
      <c r="A4" s="19" t="s">
        <v>12</v>
      </c>
      <c r="B4" s="8">
        <v>-773</v>
      </c>
      <c r="C4" s="44">
        <v>-194</v>
      </c>
      <c r="E4" s="51"/>
      <c r="F4" s="8">
        <v>-702</v>
      </c>
      <c r="G4" s="44">
        <v>5</v>
      </c>
      <c r="I4" s="8">
        <v>427</v>
      </c>
      <c r="J4" s="8">
        <v>-103</v>
      </c>
      <c r="M4" s="53">
        <v>7.3300000000000004E-2</v>
      </c>
      <c r="N4" s="55">
        <f>+R4/2</f>
        <v>10000</v>
      </c>
      <c r="O4" s="55">
        <f>+M4*N4</f>
        <v>733</v>
      </c>
      <c r="Q4" s="53">
        <v>7.3300000000000004E-2</v>
      </c>
      <c r="R4" s="55">
        <v>20000</v>
      </c>
      <c r="S4" s="55">
        <f>+Q4*R4</f>
        <v>1466</v>
      </c>
      <c r="U4" s="53">
        <v>7.3300000000000004E-2</v>
      </c>
      <c r="V4" s="55">
        <v>20000</v>
      </c>
      <c r="W4" s="55">
        <f>+U4*V4</f>
        <v>1466</v>
      </c>
      <c r="Y4" s="53">
        <v>7.3300000000000004E-2</v>
      </c>
      <c r="Z4" s="55">
        <v>20000</v>
      </c>
      <c r="AA4" s="55">
        <f>+Y4*Z4</f>
        <v>1466</v>
      </c>
      <c r="AC4" s="53">
        <v>7.3300000000000004E-2</v>
      </c>
      <c r="AD4" s="55">
        <v>20000</v>
      </c>
      <c r="AE4" s="55">
        <f>+AC4*AD4</f>
        <v>1466</v>
      </c>
      <c r="AG4" s="53">
        <v>7.3300000000000004E-2</v>
      </c>
      <c r="AH4" s="55">
        <v>20000</v>
      </c>
      <c r="AI4" s="55">
        <f>+AG4*AH4</f>
        <v>1466</v>
      </c>
      <c r="AK4" s="53">
        <v>7.3300000000000004E-2</v>
      </c>
      <c r="AL4" s="55">
        <v>95000</v>
      </c>
      <c r="AM4" s="55">
        <f>+AK4*AL4</f>
        <v>6963.5</v>
      </c>
      <c r="AO4" s="53">
        <v>7.3300000000000004E-2</v>
      </c>
      <c r="AP4" s="55">
        <v>170000</v>
      </c>
      <c r="AQ4" s="55">
        <f>+AO4*AP4</f>
        <v>12461</v>
      </c>
    </row>
    <row r="5" spans="1:46" x14ac:dyDescent="0.3">
      <c r="A5" s="19" t="s">
        <v>12</v>
      </c>
      <c r="B5" s="8">
        <v>-871</v>
      </c>
      <c r="C5" s="45">
        <v>-307</v>
      </c>
      <c r="E5" s="51"/>
      <c r="F5" s="8">
        <v>-855</v>
      </c>
      <c r="G5" s="45">
        <v>-820</v>
      </c>
      <c r="I5" s="8">
        <v>-351</v>
      </c>
      <c r="J5" s="14">
        <v>821</v>
      </c>
      <c r="M5" s="53">
        <v>6.5100000000000005E-2</v>
      </c>
      <c r="N5" s="55">
        <v>361</v>
      </c>
      <c r="O5" s="55">
        <f t="shared" ref="O5:O8" si="0">+M5*N5</f>
        <v>23.501100000000001</v>
      </c>
      <c r="Q5" s="53">
        <v>6.5100000000000005E-2</v>
      </c>
      <c r="R5" s="55">
        <v>425000</v>
      </c>
      <c r="S5" s="55">
        <f t="shared" ref="S5:S8" si="1">+Q5*R5</f>
        <v>27667.500000000004</v>
      </c>
      <c r="U5" s="53">
        <v>6.5100000000000005E-2</v>
      </c>
      <c r="V5" s="55">
        <v>425000</v>
      </c>
      <c r="W5" s="55">
        <f t="shared" ref="W5:W8" si="2">+U5*V5</f>
        <v>27667.500000000004</v>
      </c>
      <c r="Y5" s="53">
        <v>6.5100000000000005E-2</v>
      </c>
      <c r="Z5" s="55">
        <v>425000</v>
      </c>
      <c r="AA5" s="55">
        <f t="shared" ref="AA5:AA7" si="3">+Y5*Z5</f>
        <v>27667.500000000004</v>
      </c>
      <c r="AC5" s="53">
        <v>6.5100000000000005E-2</v>
      </c>
      <c r="AD5" s="55">
        <v>425000</v>
      </c>
      <c r="AE5" s="55">
        <f t="shared" ref="AE5:AE7" si="4">+AC5*AD5</f>
        <v>27667.500000000004</v>
      </c>
      <c r="AG5" s="53">
        <v>6.5100000000000005E-2</v>
      </c>
      <c r="AH5" s="55">
        <v>425000</v>
      </c>
      <c r="AI5" s="55">
        <f t="shared" ref="AI5:AI7" si="5">+AG5*AH5</f>
        <v>27667.500000000004</v>
      </c>
      <c r="AK5" s="53">
        <v>6.5100000000000005E-2</v>
      </c>
      <c r="AL5" s="55">
        <v>425000</v>
      </c>
      <c r="AM5" s="55">
        <f t="shared" ref="AM5:AM7" si="6">+AK5*AL5</f>
        <v>27667.500000000004</v>
      </c>
      <c r="AO5" s="53">
        <v>6.5100000000000005E-2</v>
      </c>
      <c r="AP5" s="55">
        <v>425000</v>
      </c>
      <c r="AQ5" s="55">
        <f t="shared" ref="AQ5:AQ6" si="7">+AO5*AP5</f>
        <v>27667.500000000004</v>
      </c>
    </row>
    <row r="6" spans="1:46" x14ac:dyDescent="0.3">
      <c r="A6" s="19" t="s">
        <v>12</v>
      </c>
      <c r="B6" s="8">
        <v>-986</v>
      </c>
      <c r="C6" s="45">
        <v>-262</v>
      </c>
      <c r="E6" s="51"/>
      <c r="F6" s="8">
        <v>-839</v>
      </c>
      <c r="G6" s="45">
        <v>856</v>
      </c>
      <c r="I6" s="8">
        <v>-5901</v>
      </c>
      <c r="J6" s="14">
        <v>2568</v>
      </c>
      <c r="M6" s="53">
        <v>9.7799999999999998E-2</v>
      </c>
      <c r="N6" s="55">
        <v>67000</v>
      </c>
      <c r="O6" s="55">
        <f t="shared" si="0"/>
        <v>6552.5999999999995</v>
      </c>
      <c r="Q6" s="53">
        <v>9.7799999999999998E-2</v>
      </c>
      <c r="R6" s="55">
        <v>67000</v>
      </c>
      <c r="S6" s="55">
        <f t="shared" si="1"/>
        <v>6552.5999999999995</v>
      </c>
      <c r="U6" s="53">
        <v>9.7799999999999998E-2</v>
      </c>
      <c r="V6" s="55">
        <v>67000</v>
      </c>
      <c r="W6" s="55">
        <f t="shared" si="2"/>
        <v>6552.5999999999995</v>
      </c>
      <c r="Y6" s="53">
        <v>9.7799999999999998E-2</v>
      </c>
      <c r="Z6" s="55">
        <v>67000</v>
      </c>
      <c r="AA6" s="55">
        <f t="shared" si="3"/>
        <v>6552.5999999999995</v>
      </c>
      <c r="AC6" s="53">
        <v>9.7799999999999998E-2</v>
      </c>
      <c r="AD6" s="55">
        <v>67000</v>
      </c>
      <c r="AE6" s="55">
        <f t="shared" si="4"/>
        <v>6552.5999999999995</v>
      </c>
      <c r="AG6" s="53">
        <v>9.7799999999999998E-2</v>
      </c>
      <c r="AH6" s="55">
        <v>67000</v>
      </c>
      <c r="AI6" s="55">
        <f t="shared" si="5"/>
        <v>6552.5999999999995</v>
      </c>
      <c r="AK6" s="53">
        <v>9.7799999999999998E-2</v>
      </c>
      <c r="AL6" s="55">
        <v>67000</v>
      </c>
      <c r="AM6" s="55">
        <f t="shared" si="6"/>
        <v>6552.5999999999995</v>
      </c>
      <c r="AO6" s="53">
        <v>9.7799999999999998E-2</v>
      </c>
      <c r="AP6" s="55">
        <v>67000</v>
      </c>
      <c r="AQ6" s="55">
        <f t="shared" si="7"/>
        <v>6552.5999999999995</v>
      </c>
    </row>
    <row r="7" spans="1:46" x14ac:dyDescent="0.3">
      <c r="A7" s="20" t="s">
        <v>12</v>
      </c>
      <c r="B7" s="8">
        <v>-963</v>
      </c>
      <c r="C7" s="45">
        <v>300</v>
      </c>
      <c r="E7" s="51"/>
      <c r="F7" s="8">
        <v>-742</v>
      </c>
      <c r="G7" s="45">
        <v>-1120</v>
      </c>
      <c r="I7" s="8">
        <v>1194</v>
      </c>
      <c r="J7" s="14">
        <v>2445</v>
      </c>
      <c r="M7" s="53">
        <v>5.5800000000000002E-2</v>
      </c>
      <c r="N7" s="55">
        <v>175000</v>
      </c>
      <c r="O7" s="55">
        <f t="shared" si="0"/>
        <v>9765</v>
      </c>
      <c r="Q7" s="53">
        <v>5.5800000000000002E-2</v>
      </c>
      <c r="R7" s="55">
        <v>175000</v>
      </c>
      <c r="S7" s="55">
        <f t="shared" si="1"/>
        <v>9765</v>
      </c>
      <c r="U7" s="53">
        <v>5.5800000000000002E-2</v>
      </c>
      <c r="V7" s="55">
        <v>175000</v>
      </c>
      <c r="W7" s="55">
        <f t="shared" si="2"/>
        <v>9765</v>
      </c>
      <c r="Y7" s="53">
        <v>5.5800000000000002E-2</v>
      </c>
      <c r="Z7" s="55">
        <v>175000</v>
      </c>
      <c r="AA7" s="55">
        <f t="shared" si="3"/>
        <v>9765</v>
      </c>
      <c r="AC7" s="53">
        <v>5.5800000000000002E-2</v>
      </c>
      <c r="AD7" s="55">
        <v>175000</v>
      </c>
      <c r="AE7" s="55">
        <f t="shared" si="4"/>
        <v>9765</v>
      </c>
      <c r="AG7" s="53">
        <v>5.5800000000000002E-2</v>
      </c>
      <c r="AH7" s="55">
        <v>175000</v>
      </c>
      <c r="AI7" s="55">
        <f t="shared" si="5"/>
        <v>9765</v>
      </c>
      <c r="AK7" s="53">
        <v>5.5800000000000002E-2</v>
      </c>
      <c r="AL7" s="55">
        <v>175000</v>
      </c>
      <c r="AM7" s="55">
        <f t="shared" si="6"/>
        <v>9765</v>
      </c>
      <c r="AO7" s="53"/>
      <c r="AP7" s="55"/>
      <c r="AQ7" s="55"/>
    </row>
    <row r="8" spans="1:46" x14ac:dyDescent="0.3">
      <c r="A8" s="19" t="s">
        <v>12</v>
      </c>
      <c r="B8" s="10">
        <v>-949</v>
      </c>
      <c r="C8" s="45">
        <v>-169</v>
      </c>
      <c r="E8" s="51"/>
      <c r="F8" s="8">
        <v>-825</v>
      </c>
      <c r="G8" s="45">
        <v>-1165</v>
      </c>
      <c r="I8" s="8">
        <v>-1441</v>
      </c>
      <c r="J8" s="14">
        <v>941</v>
      </c>
      <c r="M8" s="53">
        <v>3.6499999999999998E-2</v>
      </c>
      <c r="N8" s="56">
        <v>925000</v>
      </c>
      <c r="O8" s="56">
        <f t="shared" si="0"/>
        <v>33762.5</v>
      </c>
      <c r="Q8" s="53">
        <v>3.6499999999999998E-2</v>
      </c>
      <c r="R8" s="56">
        <v>925000</v>
      </c>
      <c r="S8" s="56">
        <f t="shared" si="1"/>
        <v>33762.5</v>
      </c>
      <c r="U8" s="53">
        <v>3.6499999999999998E-2</v>
      </c>
      <c r="V8" s="56">
        <f>925000/3</f>
        <v>308333.33333333331</v>
      </c>
      <c r="W8" s="56">
        <f t="shared" si="2"/>
        <v>11254.166666666666</v>
      </c>
      <c r="Y8" s="53"/>
      <c r="Z8" s="56"/>
      <c r="AA8" s="56"/>
      <c r="AC8" s="53"/>
      <c r="AD8" s="56"/>
      <c r="AE8" s="56"/>
      <c r="AG8" s="53"/>
      <c r="AH8" s="56"/>
      <c r="AI8" s="56"/>
      <c r="AK8" s="53"/>
      <c r="AL8" s="56"/>
      <c r="AM8" s="56"/>
      <c r="AO8" s="53"/>
      <c r="AP8" s="56"/>
      <c r="AQ8" s="56"/>
    </row>
    <row r="9" spans="1:46" x14ac:dyDescent="0.3">
      <c r="A9" s="19" t="s">
        <v>12</v>
      </c>
      <c r="B9" s="8">
        <v>-973</v>
      </c>
      <c r="C9" s="45">
        <v>-956</v>
      </c>
      <c r="E9" s="51"/>
      <c r="F9" s="8">
        <v>-772</v>
      </c>
      <c r="G9" s="45">
        <v>-1617</v>
      </c>
      <c r="I9" s="8">
        <v>831</v>
      </c>
      <c r="J9" s="14">
        <v>-1563</v>
      </c>
      <c r="N9" s="55">
        <f>SUM(N4:N8)</f>
        <v>1177361</v>
      </c>
      <c r="O9" s="55">
        <f>SUM(O4:O8)</f>
        <v>50836.6011</v>
      </c>
      <c r="R9" s="55">
        <f>SUM(R4:R8)</f>
        <v>1612000</v>
      </c>
      <c r="S9" s="55">
        <f>SUM(S4:S8)</f>
        <v>79213.600000000006</v>
      </c>
      <c r="V9" s="55">
        <f>SUM(V4:V8)</f>
        <v>995333.33333333326</v>
      </c>
      <c r="W9" s="55">
        <f>SUM(W4:W8)</f>
        <v>56705.26666666667</v>
      </c>
      <c r="Z9" s="55">
        <f>SUM(Z4:Z8)</f>
        <v>687000</v>
      </c>
      <c r="AA9" s="55">
        <f>SUM(AA4:AA8)</f>
        <v>45451.100000000006</v>
      </c>
      <c r="AD9" s="55">
        <f>SUM(AD4:AD8)</f>
        <v>687000</v>
      </c>
      <c r="AE9" s="55">
        <f>SUM(AE4:AE8)</f>
        <v>45451.100000000006</v>
      </c>
      <c r="AH9" s="55">
        <f>SUM(AH4:AH8)</f>
        <v>687000</v>
      </c>
      <c r="AI9" s="55">
        <f>SUM(AI4:AI8)</f>
        <v>45451.100000000006</v>
      </c>
      <c r="AL9" s="55">
        <f>SUM(AL4:AL8)</f>
        <v>762000</v>
      </c>
      <c r="AM9" s="55">
        <f>SUM(AM4:AM8)</f>
        <v>50948.6</v>
      </c>
      <c r="AP9" s="55">
        <f>SUM(AP4:AP8)</f>
        <v>662000</v>
      </c>
      <c r="AQ9" s="55">
        <f>SUM(AQ4:AQ8)</f>
        <v>46681.1</v>
      </c>
    </row>
    <row r="10" spans="1:46" x14ac:dyDescent="0.3">
      <c r="A10" s="21" t="s">
        <v>12</v>
      </c>
      <c r="B10" s="12">
        <v>-989</v>
      </c>
      <c r="C10" s="46">
        <v>-26</v>
      </c>
      <c r="E10" s="51"/>
      <c r="F10" s="12">
        <v>-686</v>
      </c>
      <c r="G10" s="46">
        <v>2877</v>
      </c>
      <c r="I10" s="12">
        <v>-6468</v>
      </c>
      <c r="J10" s="16">
        <v>-6812</v>
      </c>
      <c r="L10" s="57" t="s">
        <v>73</v>
      </c>
      <c r="N10" s="60">
        <v>0</v>
      </c>
      <c r="O10" s="61"/>
      <c r="R10" s="60">
        <v>413000</v>
      </c>
      <c r="S10" s="61"/>
      <c r="T10" s="61"/>
      <c r="U10" s="62"/>
      <c r="V10" s="60">
        <v>140000</v>
      </c>
      <c r="Z10" s="60">
        <v>460000</v>
      </c>
      <c r="AA10" s="61"/>
      <c r="AB10" s="61"/>
      <c r="AD10" s="60">
        <v>325000</v>
      </c>
      <c r="AE10" s="61"/>
      <c r="AH10" s="60">
        <v>188000</v>
      </c>
      <c r="AI10" s="61"/>
      <c r="AL10" s="60">
        <v>213000</v>
      </c>
      <c r="AM10" s="61"/>
      <c r="AP10" s="60">
        <v>143000</v>
      </c>
      <c r="AQ10" s="61"/>
      <c r="AT10">
        <v>185000</v>
      </c>
    </row>
    <row r="11" spans="1:46" ht="15" thickBot="1" x14ac:dyDescent="0.35">
      <c r="A11" s="19" t="s">
        <v>13</v>
      </c>
      <c r="B11" s="8">
        <v>0</v>
      </c>
      <c r="C11" s="44">
        <v>0</v>
      </c>
      <c r="E11" s="51"/>
      <c r="F11" s="8"/>
      <c r="G11" s="44"/>
      <c r="I11" s="8">
        <v>0</v>
      </c>
      <c r="J11" s="8"/>
      <c r="L11" s="57" t="s">
        <v>74</v>
      </c>
      <c r="M11" s="53">
        <v>2.3E-2</v>
      </c>
      <c r="N11" s="63">
        <f>+AVERAGE(R10,N10)</f>
        <v>206500</v>
      </c>
      <c r="O11" s="64">
        <f>+N11*M11</f>
        <v>4749.5</v>
      </c>
      <c r="Q11" s="53">
        <v>2.1999999999999999E-2</v>
      </c>
      <c r="R11" s="63">
        <f>+AVERAGE(V10,R10)</f>
        <v>276500</v>
      </c>
      <c r="S11" s="64">
        <f>+R11*Q11</f>
        <v>6083</v>
      </c>
      <c r="U11" s="53">
        <v>2.1999999999999999E-2</v>
      </c>
      <c r="V11" s="63">
        <f>+AVERAGE(Z10,V10)</f>
        <v>300000</v>
      </c>
      <c r="W11" s="64">
        <f>+V11*U11</f>
        <v>6600</v>
      </c>
      <c r="Y11" s="53">
        <v>0.02</v>
      </c>
      <c r="Z11" s="63">
        <f>+AVERAGE(AD10,Z10)</f>
        <v>392500</v>
      </c>
      <c r="AA11" s="64">
        <f>+Z11*Y11</f>
        <v>7850</v>
      </c>
      <c r="AC11" s="53">
        <v>2.1999999999999999E-2</v>
      </c>
      <c r="AD11" s="63">
        <f>+AVERAGE(AH10,AD10)</f>
        <v>256500</v>
      </c>
      <c r="AE11" s="64">
        <f>+AD11*AC11</f>
        <v>5643</v>
      </c>
      <c r="AG11" s="53">
        <v>4.1000000000000002E-2</v>
      </c>
      <c r="AH11" s="63">
        <f>+AVERAGE(AL10,AH10)</f>
        <v>200500</v>
      </c>
      <c r="AI11" s="64">
        <f>+AH11*AG11</f>
        <v>8220.5</v>
      </c>
      <c r="AK11" s="53">
        <v>3.7999999999999999E-2</v>
      </c>
      <c r="AL11" s="63">
        <f>+AVERAGE(AP10,AL10)</f>
        <v>178000</v>
      </c>
      <c r="AM11" s="64">
        <f>+AL11*AK11</f>
        <v>6764</v>
      </c>
      <c r="AO11" s="53">
        <v>0.04</v>
      </c>
      <c r="AP11" s="63">
        <f>+AVERAGE(AT10,AP10)</f>
        <v>164000</v>
      </c>
      <c r="AQ11" s="64">
        <f>+AP11*AO11</f>
        <v>6560</v>
      </c>
    </row>
    <row r="12" spans="1:46" ht="15" thickTop="1" x14ac:dyDescent="0.3">
      <c r="A12" s="19" t="s">
        <v>13</v>
      </c>
      <c r="B12" s="8">
        <v>0</v>
      </c>
      <c r="C12" s="44">
        <v>0</v>
      </c>
      <c r="E12" s="51"/>
      <c r="F12" s="8"/>
      <c r="G12" s="44"/>
      <c r="I12" s="8">
        <v>0</v>
      </c>
      <c r="J12" s="8"/>
      <c r="N12" s="55">
        <f>+N9+N11</f>
        <v>1383861</v>
      </c>
      <c r="O12" s="55">
        <f>+O9+O11</f>
        <v>55586.1011</v>
      </c>
      <c r="R12" s="55">
        <f>+R9+R11</f>
        <v>1888500</v>
      </c>
      <c r="S12" s="55">
        <f>+S9+S11</f>
        <v>85296.6</v>
      </c>
      <c r="V12" s="55">
        <f>+V9+V11</f>
        <v>1295333.3333333333</v>
      </c>
      <c r="W12" s="55">
        <f>+W9+W11</f>
        <v>63305.26666666667</v>
      </c>
      <c r="Z12" s="55">
        <f>+Z9+Z11</f>
        <v>1079500</v>
      </c>
      <c r="AA12" s="55">
        <f>+AA9+AA11</f>
        <v>53301.100000000006</v>
      </c>
      <c r="AD12" s="55">
        <f>+AD9+AD11</f>
        <v>943500</v>
      </c>
      <c r="AE12" s="55">
        <f>+AE9+AE11</f>
        <v>51094.100000000006</v>
      </c>
      <c r="AH12" s="55">
        <f>+AH9+AH11</f>
        <v>887500</v>
      </c>
      <c r="AI12" s="55">
        <f>+AI9+AI11</f>
        <v>53671.600000000006</v>
      </c>
      <c r="AL12" s="55">
        <f>+AL9+AL11</f>
        <v>940000</v>
      </c>
      <c r="AM12" s="55">
        <f>+AM9+AM11</f>
        <v>57712.6</v>
      </c>
      <c r="AP12" s="55">
        <f>+AP9+AP11</f>
        <v>826000</v>
      </c>
      <c r="AQ12" s="55">
        <f>+AQ9+AQ11</f>
        <v>53241.1</v>
      </c>
    </row>
    <row r="13" spans="1:46" x14ac:dyDescent="0.3">
      <c r="A13" s="19" t="s">
        <v>13</v>
      </c>
      <c r="B13" s="8">
        <v>-309</v>
      </c>
      <c r="C13" s="45">
        <v>-686</v>
      </c>
      <c r="E13" s="51"/>
      <c r="F13" s="8">
        <v>-242</v>
      </c>
      <c r="G13" s="45">
        <f>-842+231</f>
        <v>-611</v>
      </c>
      <c r="I13" s="8">
        <v>-2882</v>
      </c>
      <c r="J13" s="14">
        <v>-285</v>
      </c>
    </row>
    <row r="14" spans="1:46" x14ac:dyDescent="0.3">
      <c r="A14" s="19" t="s">
        <v>13</v>
      </c>
      <c r="B14" s="8">
        <v>-345</v>
      </c>
      <c r="C14" s="45">
        <v>-1170</v>
      </c>
      <c r="E14" s="51"/>
      <c r="F14" s="8">
        <v>-226</v>
      </c>
      <c r="G14" s="45">
        <f>-1222-952</f>
        <v>-2174</v>
      </c>
      <c r="I14" s="8">
        <v>-388</v>
      </c>
      <c r="J14" s="14">
        <v>3032</v>
      </c>
    </row>
    <row r="15" spans="1:46" x14ac:dyDescent="0.3">
      <c r="A15" s="19" t="s">
        <v>13</v>
      </c>
      <c r="B15" s="8">
        <v>-433</v>
      </c>
      <c r="C15" s="45">
        <v>-1686</v>
      </c>
      <c r="E15" s="51"/>
      <c r="F15" s="8">
        <v>-158</v>
      </c>
      <c r="G15" s="45">
        <f>-2263-1246</f>
        <v>-3509</v>
      </c>
      <c r="I15" s="8">
        <v>-232</v>
      </c>
      <c r="J15" s="14">
        <v>4584</v>
      </c>
    </row>
    <row r="16" spans="1:46" x14ac:dyDescent="0.3">
      <c r="A16" s="20" t="s">
        <v>13</v>
      </c>
      <c r="B16" s="10">
        <v>-501</v>
      </c>
      <c r="C16" s="45">
        <v>-2590</v>
      </c>
      <c r="E16" s="51"/>
      <c r="F16" s="10">
        <v>-172</v>
      </c>
      <c r="G16" s="45">
        <f>-2199-654</f>
        <v>-2853</v>
      </c>
      <c r="I16" s="8">
        <v>-2547</v>
      </c>
      <c r="J16" s="14">
        <v>2001</v>
      </c>
      <c r="N16" s="57" t="s">
        <v>71</v>
      </c>
      <c r="O16" s="59">
        <v>82595</v>
      </c>
    </row>
    <row r="17" spans="1:51" x14ac:dyDescent="0.3">
      <c r="A17" s="19" t="s">
        <v>13</v>
      </c>
      <c r="B17" s="8">
        <v>-560</v>
      </c>
      <c r="C17" s="45">
        <v>-1766</v>
      </c>
      <c r="E17" s="51"/>
      <c r="F17" s="8">
        <v>-177</v>
      </c>
      <c r="G17" s="45">
        <f>-1663-261</f>
        <v>-1924</v>
      </c>
      <c r="I17" s="8">
        <v>-1666</v>
      </c>
      <c r="J17" s="14">
        <v>2288</v>
      </c>
      <c r="M17" s="58"/>
      <c r="O17" s="54">
        <f>+O16-SUM(S4:S8)</f>
        <v>3381.3999999999942</v>
      </c>
    </row>
    <row r="18" spans="1:51" ht="15" thickBot="1" x14ac:dyDescent="0.35">
      <c r="A18" s="19" t="s">
        <v>13</v>
      </c>
      <c r="B18" s="8">
        <v>-499</v>
      </c>
      <c r="C18" s="45">
        <v>-1357</v>
      </c>
      <c r="E18" s="51"/>
      <c r="F18" s="8">
        <v>-130</v>
      </c>
      <c r="G18" s="45">
        <f>-1142-495</f>
        <v>-1637</v>
      </c>
      <c r="I18" s="8">
        <v>-8016</v>
      </c>
      <c r="J18" s="14">
        <v>-5060</v>
      </c>
      <c r="M18" s="58"/>
      <c r="O18" s="53"/>
    </row>
    <row r="19" spans="1:51" x14ac:dyDescent="0.3">
      <c r="A19" s="21" t="s">
        <v>13</v>
      </c>
      <c r="B19" s="12"/>
      <c r="C19" s="46"/>
      <c r="E19" s="51"/>
      <c r="F19" s="12"/>
      <c r="G19" s="46"/>
      <c r="I19" s="12">
        <v>0</v>
      </c>
      <c r="J19" s="16"/>
      <c r="M19" s="58"/>
      <c r="N19" s="65" t="s">
        <v>20</v>
      </c>
      <c r="O19" s="66">
        <v>2007</v>
      </c>
      <c r="P19" s="67">
        <v>20.219333333333331</v>
      </c>
      <c r="Q19" s="68"/>
      <c r="R19" s="69"/>
      <c r="S19" s="68">
        <v>0</v>
      </c>
      <c r="T19" s="68">
        <v>0</v>
      </c>
      <c r="U19" s="68">
        <v>0</v>
      </c>
      <c r="V19" s="68">
        <v>0</v>
      </c>
      <c r="W19" s="68">
        <f t="shared" ref="W19:W27" si="8">SUM(Q19:V19)</f>
        <v>0</v>
      </c>
      <c r="X19" s="68"/>
      <c r="Y19" s="68">
        <f t="shared" ref="Y19:Y27" si="9">+SUM(W19:X19)</f>
        <v>0</v>
      </c>
      <c r="Z19" s="68">
        <v>0</v>
      </c>
      <c r="AA19" s="68">
        <v>0</v>
      </c>
      <c r="AB19" s="68">
        <f t="shared" ref="AB19:AB27" si="10">+SUM(Y19:AA19)</f>
        <v>0</v>
      </c>
      <c r="AC19" s="68">
        <f t="shared" ref="AC19:AC27" si="11">+AD19-AB19</f>
        <v>0</v>
      </c>
      <c r="AD19" s="68"/>
      <c r="AE19" s="68">
        <v>0</v>
      </c>
      <c r="AF19" s="68">
        <f t="shared" ref="AF19:AF27" si="12">+AG19-SUM(AD19:AE19)</f>
        <v>0</v>
      </c>
      <c r="AG19" s="68"/>
      <c r="AH19" s="70"/>
    </row>
    <row r="20" spans="1:51" x14ac:dyDescent="0.3">
      <c r="A20" s="19" t="s">
        <v>14</v>
      </c>
      <c r="B20" s="8">
        <v>0</v>
      </c>
      <c r="C20" s="44">
        <v>0</v>
      </c>
      <c r="E20" s="51"/>
      <c r="F20" s="8"/>
      <c r="G20" s="44"/>
      <c r="I20" s="8">
        <v>0</v>
      </c>
      <c r="J20" s="8"/>
      <c r="M20" s="58"/>
      <c r="N20" s="19" t="s">
        <v>20</v>
      </c>
      <c r="O20" s="3">
        <v>2008</v>
      </c>
      <c r="P20" s="23">
        <v>24.215999999999998</v>
      </c>
      <c r="Q20" s="8"/>
      <c r="R20" s="11"/>
      <c r="S20" s="8">
        <v>0</v>
      </c>
      <c r="T20" s="8">
        <v>0</v>
      </c>
      <c r="U20" s="8">
        <v>0</v>
      </c>
      <c r="V20" s="8">
        <v>0</v>
      </c>
      <c r="W20" s="8">
        <f t="shared" si="8"/>
        <v>0</v>
      </c>
      <c r="X20" s="8"/>
      <c r="Y20" s="8">
        <f t="shared" si="9"/>
        <v>0</v>
      </c>
      <c r="Z20" s="8">
        <v>0</v>
      </c>
      <c r="AA20" s="8">
        <v>0</v>
      </c>
      <c r="AB20" s="8">
        <f t="shared" si="10"/>
        <v>0</v>
      </c>
      <c r="AC20" s="8">
        <f t="shared" si="11"/>
        <v>0</v>
      </c>
      <c r="AD20" s="8"/>
      <c r="AE20" s="8">
        <v>0</v>
      </c>
      <c r="AF20" s="8">
        <f t="shared" si="12"/>
        <v>0</v>
      </c>
      <c r="AG20" s="8"/>
      <c r="AH20" s="71"/>
    </row>
    <row r="21" spans="1:51" x14ac:dyDescent="0.3">
      <c r="A21" s="19" t="s">
        <v>14</v>
      </c>
      <c r="B21" s="8">
        <v>0</v>
      </c>
      <c r="C21" s="44">
        <v>0</v>
      </c>
      <c r="E21" s="51"/>
      <c r="F21" s="8"/>
      <c r="G21" s="44"/>
      <c r="I21" s="8">
        <v>0</v>
      </c>
      <c r="J21" s="8"/>
      <c r="M21" s="58"/>
      <c r="N21" s="19" t="s">
        <v>20</v>
      </c>
      <c r="O21" s="3">
        <v>2009</v>
      </c>
      <c r="P21" s="23">
        <v>30.018166666666666</v>
      </c>
      <c r="Q21" s="8">
        <v>666.76199999999994</v>
      </c>
      <c r="R21" s="11">
        <v>0</v>
      </c>
      <c r="S21" s="8">
        <f>-40.679-45.155-58.011</f>
        <v>-143.845</v>
      </c>
      <c r="T21" s="8">
        <v>-66.97</v>
      </c>
      <c r="U21" s="8">
        <v>0</v>
      </c>
      <c r="V21" s="8">
        <v>-19.771999999999998</v>
      </c>
      <c r="W21" s="8">
        <f t="shared" si="8"/>
        <v>436.1749999999999</v>
      </c>
      <c r="X21" s="8">
        <f t="shared" ref="X21:X27" si="13">-AE21</f>
        <v>-201.82599999999999</v>
      </c>
      <c r="Y21" s="8">
        <f t="shared" si="9"/>
        <v>234.3489999999999</v>
      </c>
      <c r="Z21" s="41">
        <v>-37.167000000000002</v>
      </c>
      <c r="AA21" s="8">
        <v>-11.403</v>
      </c>
      <c r="AB21" s="15">
        <f t="shared" si="10"/>
        <v>185.77899999999991</v>
      </c>
      <c r="AC21" s="15">
        <f t="shared" si="11"/>
        <v>-636.83199999999988</v>
      </c>
      <c r="AD21" s="15">
        <v>-451.053</v>
      </c>
      <c r="AE21" s="15">
        <v>201.82599999999999</v>
      </c>
      <c r="AF21" s="15">
        <f t="shared" si="12"/>
        <v>841.86799999999994</v>
      </c>
      <c r="AG21" s="15">
        <f>592.641</f>
        <v>592.64099999999996</v>
      </c>
      <c r="AH21" s="71">
        <v>741.351</v>
      </c>
    </row>
    <row r="22" spans="1:51" x14ac:dyDescent="0.3">
      <c r="A22" s="19" t="s">
        <v>14</v>
      </c>
      <c r="B22" s="15">
        <v>-56.301000000000002</v>
      </c>
      <c r="C22" s="44">
        <v>-27.08</v>
      </c>
      <c r="E22" s="51"/>
      <c r="F22" s="15">
        <v>-58.978999999999999</v>
      </c>
      <c r="G22" s="44">
        <v>-74.947000000000003</v>
      </c>
      <c r="I22" s="8">
        <v>61.557000000000016</v>
      </c>
      <c r="J22" s="14">
        <v>148.34299999999999</v>
      </c>
      <c r="L22" s="55">
        <f>+AQ12</f>
        <v>53241.1</v>
      </c>
      <c r="N22" s="19" t="s">
        <v>20</v>
      </c>
      <c r="O22" s="3">
        <v>2010</v>
      </c>
      <c r="P22" s="23">
        <v>35.602833333333336</v>
      </c>
      <c r="Q22" s="8">
        <v>979.38599999999997</v>
      </c>
      <c r="R22" s="11">
        <v>0</v>
      </c>
      <c r="S22" s="8">
        <f>-45.938-50.126-64.965</f>
        <v>-161.029</v>
      </c>
      <c r="T22" s="8">
        <v>-95.914000000000001</v>
      </c>
      <c r="U22" s="8">
        <v>0</v>
      </c>
      <c r="V22" s="8">
        <v>-24.350999999999999</v>
      </c>
      <c r="W22" s="8">
        <f t="shared" si="8"/>
        <v>698.09199999999998</v>
      </c>
      <c r="X22" s="8">
        <f t="shared" si="13"/>
        <v>-241.79599999999999</v>
      </c>
      <c r="Y22" s="8">
        <f t="shared" si="9"/>
        <v>456.29599999999999</v>
      </c>
      <c r="Z22" s="41">
        <v>-70.231999999999999</v>
      </c>
      <c r="AA22" s="8">
        <v>-2.5369999999999999</v>
      </c>
      <c r="AB22" s="15">
        <f t="shared" si="10"/>
        <v>383.52699999999999</v>
      </c>
      <c r="AC22" s="15">
        <f t="shared" si="11"/>
        <v>80.932000000000016</v>
      </c>
      <c r="AD22" s="15">
        <v>464.459</v>
      </c>
      <c r="AE22" s="15">
        <v>241.79599999999999</v>
      </c>
      <c r="AF22" s="15">
        <f t="shared" si="12"/>
        <v>118.47299999999996</v>
      </c>
      <c r="AG22" s="15">
        <f>824.728</f>
        <v>824.72799999999995</v>
      </c>
      <c r="AH22" s="71">
        <v>1576.4780000000001</v>
      </c>
    </row>
    <row r="23" spans="1:51" x14ac:dyDescent="0.3">
      <c r="A23" s="19" t="s">
        <v>14</v>
      </c>
      <c r="B23" s="15">
        <v>-64.341999999999999</v>
      </c>
      <c r="C23" s="44">
        <v>-1.05</v>
      </c>
      <c r="E23" s="51"/>
      <c r="F23" s="15">
        <v>-67.941000000000003</v>
      </c>
      <c r="G23" s="44">
        <v>-95.111999999999995</v>
      </c>
      <c r="I23" s="8">
        <v>158.38300000000015</v>
      </c>
      <c r="J23" s="14">
        <v>103.386</v>
      </c>
      <c r="L23" s="55">
        <f>+AM12</f>
        <v>57712.6</v>
      </c>
      <c r="N23" s="19" t="s">
        <v>20</v>
      </c>
      <c r="O23" s="3">
        <v>2011</v>
      </c>
      <c r="P23" s="23">
        <v>40.880000000000003</v>
      </c>
      <c r="Q23" s="8">
        <v>1101.796</v>
      </c>
      <c r="R23" s="11">
        <v>0</v>
      </c>
      <c r="S23" s="8">
        <f>-51.758-56.511-64.243</f>
        <v>-172.512</v>
      </c>
      <c r="T23" s="8">
        <v>-97.093999999999994</v>
      </c>
      <c r="U23" s="8">
        <v>0</v>
      </c>
      <c r="V23" s="8">
        <v>-26.032</v>
      </c>
      <c r="W23" s="8">
        <f t="shared" si="8"/>
        <v>806.15800000000002</v>
      </c>
      <c r="X23" s="8">
        <f t="shared" si="13"/>
        <v>-346.39400000000001</v>
      </c>
      <c r="Y23" s="8">
        <f t="shared" si="9"/>
        <v>459.76400000000001</v>
      </c>
      <c r="Z23" s="41">
        <v>-88.963999999999999</v>
      </c>
      <c r="AA23" s="8">
        <v>-7.26</v>
      </c>
      <c r="AB23" s="15">
        <f t="shared" si="10"/>
        <v>363.54</v>
      </c>
      <c r="AC23" s="15">
        <f t="shared" si="11"/>
        <v>89.661999999999978</v>
      </c>
      <c r="AD23" s="15">
        <v>453.202</v>
      </c>
      <c r="AE23" s="15">
        <v>346.39400000000001</v>
      </c>
      <c r="AF23" s="15">
        <f t="shared" si="12"/>
        <v>233.69599999999991</v>
      </c>
      <c r="AG23" s="15">
        <f>1033.292</f>
        <v>1033.2919999999999</v>
      </c>
      <c r="AH23" s="71">
        <v>1513.7860000000001</v>
      </c>
    </row>
    <row r="24" spans="1:51" x14ac:dyDescent="0.3">
      <c r="A24" s="19" t="s">
        <v>14</v>
      </c>
      <c r="B24" s="15">
        <v>-62.353000000000002</v>
      </c>
      <c r="C24" s="44">
        <v>-65.352000000000004</v>
      </c>
      <c r="E24" s="51"/>
      <c r="F24" s="15">
        <v>-71.662999999999997</v>
      </c>
      <c r="G24" s="44">
        <v>-112.779</v>
      </c>
      <c r="I24" s="8">
        <v>200.89500000000004</v>
      </c>
      <c r="J24" s="14">
        <v>122.408</v>
      </c>
      <c r="L24" s="55">
        <f>+AI12</f>
        <v>53671.600000000006</v>
      </c>
      <c r="N24" s="20" t="s">
        <v>20</v>
      </c>
      <c r="O24" s="4">
        <v>2012</v>
      </c>
      <c r="P24" s="24">
        <v>42.833666666666673</v>
      </c>
      <c r="Q24" s="10">
        <v>809.97400000000005</v>
      </c>
      <c r="R24" s="11">
        <v>0</v>
      </c>
      <c r="S24" s="10">
        <f>-63.823-0.645-59.004-84.47</f>
        <v>-207.94200000000001</v>
      </c>
      <c r="T24" s="10">
        <v>-60.756999999999998</v>
      </c>
      <c r="U24" s="10">
        <v>0</v>
      </c>
      <c r="V24" s="10">
        <v>-25.103999999999999</v>
      </c>
      <c r="W24" s="10">
        <f t="shared" si="8"/>
        <v>516.17100000000005</v>
      </c>
      <c r="X24" s="8">
        <f t="shared" si="13"/>
        <v>-388.98500000000001</v>
      </c>
      <c r="Y24" s="8">
        <f t="shared" si="9"/>
        <v>127.18600000000004</v>
      </c>
      <c r="Z24" s="41">
        <v>-101.23699999999999</v>
      </c>
      <c r="AA24" s="10">
        <v>-4.3789999999999996</v>
      </c>
      <c r="AB24" s="15">
        <f t="shared" si="10"/>
        <v>21.570000000000043</v>
      </c>
      <c r="AC24" s="15">
        <f t="shared" si="11"/>
        <v>-2198.4680000000003</v>
      </c>
      <c r="AD24" s="15">
        <v>-2176.8980000000001</v>
      </c>
      <c r="AE24" s="15">
        <v>388.98500000000001</v>
      </c>
      <c r="AF24" s="15">
        <f t="shared" si="12"/>
        <v>2442.7380000000003</v>
      </c>
      <c r="AG24" s="15">
        <f>654.825</f>
        <v>654.82500000000005</v>
      </c>
      <c r="AH24" s="71">
        <v>835.16600000000005</v>
      </c>
    </row>
    <row r="25" spans="1:51" x14ac:dyDescent="0.3">
      <c r="A25" s="20" t="s">
        <v>14</v>
      </c>
      <c r="B25" s="15">
        <v>-64.97</v>
      </c>
      <c r="C25" s="47">
        <v>-22.501000000000001</v>
      </c>
      <c r="E25" s="51"/>
      <c r="F25" s="15">
        <v>-68.293000000000006</v>
      </c>
      <c r="G25" s="47">
        <v>-106.11</v>
      </c>
      <c r="I25" s="8">
        <v>64.612000000000023</v>
      </c>
      <c r="J25" s="14">
        <v>131.72999999999999</v>
      </c>
      <c r="L25" s="55">
        <f>+AE12</f>
        <v>51094.100000000006</v>
      </c>
      <c r="N25" s="19" t="s">
        <v>20</v>
      </c>
      <c r="O25" s="3">
        <v>2013</v>
      </c>
      <c r="P25" s="23">
        <v>38.681333333333335</v>
      </c>
      <c r="Q25" s="8">
        <v>933.404</v>
      </c>
      <c r="R25" s="11">
        <v>0</v>
      </c>
      <c r="S25" s="8">
        <f>-68.106-20-52.074-82.797</f>
        <v>-222.977</v>
      </c>
      <c r="T25" s="8">
        <v>-72.397999999999996</v>
      </c>
      <c r="U25" s="8">
        <v>0</v>
      </c>
      <c r="V25" s="8">
        <v>-22.373000000000001</v>
      </c>
      <c r="W25" s="8">
        <f t="shared" si="8"/>
        <v>615.65599999999995</v>
      </c>
      <c r="X25" s="8">
        <f t="shared" si="13"/>
        <v>-243.39</v>
      </c>
      <c r="Y25" s="8">
        <f t="shared" si="9"/>
        <v>372.26599999999996</v>
      </c>
      <c r="Z25" s="41">
        <v>-99.542000000000002</v>
      </c>
      <c r="AA25" s="8">
        <v>-13.843</v>
      </c>
      <c r="AB25" s="15">
        <f t="shared" si="10"/>
        <v>258.88099999999991</v>
      </c>
      <c r="AC25" s="15">
        <f t="shared" si="11"/>
        <v>-21.042999999999921</v>
      </c>
      <c r="AD25" s="15">
        <v>237.83799999999999</v>
      </c>
      <c r="AE25" s="15">
        <v>243.39</v>
      </c>
      <c r="AF25" s="15">
        <f t="shared" si="12"/>
        <v>-8.589999999999975</v>
      </c>
      <c r="AG25" s="15">
        <f>472.638</f>
        <v>472.63799999999998</v>
      </c>
      <c r="AH25" s="71">
        <v>1019.712</v>
      </c>
    </row>
    <row r="26" spans="1:51" x14ac:dyDescent="0.3">
      <c r="A26" s="19" t="s">
        <v>14</v>
      </c>
      <c r="B26" s="15">
        <v>-63.279000000000003</v>
      </c>
      <c r="C26" s="44">
        <v>-35.280999999999999</v>
      </c>
      <c r="E26" s="51"/>
      <c r="F26" s="15">
        <v>-66.043999999999997</v>
      </c>
      <c r="G26" s="44">
        <v>-205.76499999999999</v>
      </c>
      <c r="I26" s="8">
        <v>42.115000000000236</v>
      </c>
      <c r="J26" s="14">
        <v>279.77300000000002</v>
      </c>
      <c r="L26" s="55">
        <f>+AA12</f>
        <v>53301.100000000006</v>
      </c>
      <c r="N26" s="19" t="s">
        <v>20</v>
      </c>
      <c r="O26" s="3">
        <v>2014</v>
      </c>
      <c r="P26" s="23">
        <v>41.495166666666663</v>
      </c>
      <c r="Q26" s="8">
        <v>1230.02</v>
      </c>
      <c r="R26" s="11">
        <v>0</v>
      </c>
      <c r="S26" s="8">
        <f>-96.496-20.306-59.931-77.78</f>
        <v>-254.51300000000001</v>
      </c>
      <c r="T26" s="8">
        <v>-103.898</v>
      </c>
      <c r="U26" s="8">
        <v>0</v>
      </c>
      <c r="V26" s="8">
        <v>-19.068999999999999</v>
      </c>
      <c r="W26" s="8">
        <f t="shared" si="8"/>
        <v>852.54</v>
      </c>
      <c r="X26" s="8">
        <f t="shared" si="13"/>
        <v>-292.95100000000002</v>
      </c>
      <c r="Y26" s="8">
        <f t="shared" si="9"/>
        <v>559.58899999999994</v>
      </c>
      <c r="Z26" s="41">
        <v>-108.889</v>
      </c>
      <c r="AA26" s="8">
        <v>-1.752</v>
      </c>
      <c r="AB26" s="15">
        <f t="shared" si="10"/>
        <v>448.94799999999992</v>
      </c>
      <c r="AC26" s="15">
        <f t="shared" si="11"/>
        <v>93.903000000000077</v>
      </c>
      <c r="AD26" s="15">
        <v>542.851</v>
      </c>
      <c r="AE26" s="15">
        <v>292.95100000000002</v>
      </c>
      <c r="AF26" s="15">
        <f t="shared" si="12"/>
        <v>-123.21800000000007</v>
      </c>
      <c r="AG26" s="15">
        <f>712.584</f>
        <v>712.58399999999995</v>
      </c>
      <c r="AH26" s="71">
        <v>1501.933</v>
      </c>
    </row>
    <row r="27" spans="1:51" ht="15" thickBot="1" x14ac:dyDescent="0.35">
      <c r="A27" s="19" t="s">
        <v>14</v>
      </c>
      <c r="B27" s="15">
        <v>-58.487000000000002</v>
      </c>
      <c r="C27" s="44">
        <v>-77.028999999999996</v>
      </c>
      <c r="E27" s="51"/>
      <c r="F27" s="15">
        <v>-73.784999999999997</v>
      </c>
      <c r="G27" s="44">
        <v>72.066999999999993</v>
      </c>
      <c r="I27" s="8">
        <v>-512.37000000000023</v>
      </c>
      <c r="J27" s="15">
        <v>104.468</v>
      </c>
      <c r="L27" s="55">
        <f>+W12</f>
        <v>63305.26666666667</v>
      </c>
      <c r="N27" s="48" t="s">
        <v>20</v>
      </c>
      <c r="O27" s="72">
        <v>2015</v>
      </c>
      <c r="P27" s="73">
        <v>48.358666666666672</v>
      </c>
      <c r="Q27" s="74">
        <v>839.11099999999999</v>
      </c>
      <c r="R27" s="75">
        <v>0</v>
      </c>
      <c r="S27" s="74">
        <f>-106.906-20.647-87.904-83.803</f>
        <v>-299.26</v>
      </c>
      <c r="T27" s="74">
        <v>-72.774000000000001</v>
      </c>
      <c r="U27" s="74">
        <v>0</v>
      </c>
      <c r="V27" s="74">
        <v>-246</v>
      </c>
      <c r="W27" s="74">
        <f t="shared" si="8"/>
        <v>221.077</v>
      </c>
      <c r="X27" s="74">
        <f t="shared" si="13"/>
        <v>-401.2</v>
      </c>
      <c r="Y27" s="74">
        <f t="shared" si="9"/>
        <v>-180.12299999999999</v>
      </c>
      <c r="Z27" s="76">
        <v>-169.86699999999999</v>
      </c>
      <c r="AA27" s="77">
        <v>0</v>
      </c>
      <c r="AB27" s="77">
        <f t="shared" si="10"/>
        <v>-349.99</v>
      </c>
      <c r="AC27" s="77">
        <f t="shared" si="11"/>
        <v>-2857.2299999999996</v>
      </c>
      <c r="AD27" s="77">
        <v>-3207.22</v>
      </c>
      <c r="AE27" s="77">
        <v>401.2</v>
      </c>
      <c r="AF27" s="77">
        <f t="shared" si="12"/>
        <v>3321.558</v>
      </c>
      <c r="AG27" s="77">
        <v>515.53800000000001</v>
      </c>
      <c r="AH27" s="78">
        <v>493.46699999999998</v>
      </c>
    </row>
    <row r="28" spans="1:51" x14ac:dyDescent="0.3">
      <c r="A28" s="21" t="s">
        <v>14</v>
      </c>
      <c r="B28" s="12">
        <v>-92.748999999999995</v>
      </c>
      <c r="C28" s="46">
        <v>-7.55</v>
      </c>
      <c r="E28" s="51"/>
      <c r="F28" s="12">
        <v>-96.911000000000001</v>
      </c>
      <c r="G28" s="46">
        <v>73.382000000000005</v>
      </c>
      <c r="I28" s="12">
        <v>-33.291000000000082</v>
      </c>
      <c r="J28" s="16">
        <v>-113.89100000000001</v>
      </c>
      <c r="L28" s="55">
        <f>+S12</f>
        <v>85296.6</v>
      </c>
      <c r="N28" s="55"/>
    </row>
    <row r="29" spans="1:51" x14ac:dyDescent="0.3">
      <c r="A29" s="19" t="s">
        <v>15</v>
      </c>
      <c r="B29" s="8">
        <v>0</v>
      </c>
      <c r="C29" s="44">
        <v>0</v>
      </c>
      <c r="E29" s="51"/>
      <c r="F29" s="8"/>
      <c r="G29" s="44"/>
      <c r="I29" s="8">
        <v>0</v>
      </c>
      <c r="J29" s="8"/>
      <c r="L29" s="55">
        <f>+O12</f>
        <v>55586.1011</v>
      </c>
      <c r="M29" s="58"/>
      <c r="N29" s="55"/>
    </row>
    <row r="30" spans="1:51" x14ac:dyDescent="0.3">
      <c r="A30" s="19" t="s">
        <v>15</v>
      </c>
      <c r="B30" s="8">
        <v>0</v>
      </c>
      <c r="C30" s="44">
        <v>0</v>
      </c>
      <c r="E30" s="51"/>
      <c r="F30" s="8"/>
      <c r="G30" s="44"/>
      <c r="I30" s="8">
        <v>0</v>
      </c>
      <c r="J30" s="8"/>
      <c r="M30" s="58"/>
      <c r="N30" s="55"/>
    </row>
    <row r="31" spans="1:51" x14ac:dyDescent="0.3">
      <c r="A31" s="19" t="s">
        <v>15</v>
      </c>
      <c r="B31" s="15">
        <v>-825</v>
      </c>
      <c r="C31" s="45">
        <v>-7</v>
      </c>
      <c r="E31" s="51"/>
      <c r="F31" s="15">
        <v>-113</v>
      </c>
      <c r="G31" s="45">
        <v>3483</v>
      </c>
      <c r="I31" s="8">
        <v>-13412</v>
      </c>
      <c r="J31" s="14">
        <v>-5805</v>
      </c>
      <c r="M31" s="58"/>
      <c r="N31" s="55" t="s">
        <v>107</v>
      </c>
    </row>
    <row r="32" spans="1:51" x14ac:dyDescent="0.3">
      <c r="A32" s="19" t="s">
        <v>15</v>
      </c>
      <c r="B32" s="15">
        <v>-779</v>
      </c>
      <c r="C32" s="45">
        <v>291</v>
      </c>
      <c r="E32" s="51"/>
      <c r="F32" s="15">
        <v>-19</v>
      </c>
      <c r="G32" s="45">
        <v>-1110</v>
      </c>
      <c r="I32" s="8">
        <v>-3092</v>
      </c>
      <c r="J32" s="14">
        <v>1774</v>
      </c>
      <c r="M32">
        <v>2016</v>
      </c>
      <c r="N32" t="s">
        <v>111</v>
      </c>
      <c r="O32" t="s">
        <v>109</v>
      </c>
      <c r="P32" t="s">
        <v>6</v>
      </c>
      <c r="R32">
        <v>2015</v>
      </c>
      <c r="S32" t="s">
        <v>111</v>
      </c>
      <c r="T32" t="s">
        <v>109</v>
      </c>
      <c r="U32" t="s">
        <v>6</v>
      </c>
      <c r="W32">
        <v>2014</v>
      </c>
      <c r="X32" t="s">
        <v>110</v>
      </c>
      <c r="Y32" t="s">
        <v>109</v>
      </c>
      <c r="Z32" t="s">
        <v>6</v>
      </c>
      <c r="AA32" s="58"/>
      <c r="AB32">
        <v>2013</v>
      </c>
      <c r="AC32" t="s">
        <v>111</v>
      </c>
      <c r="AD32" t="s">
        <v>109</v>
      </c>
      <c r="AE32" t="s">
        <v>6</v>
      </c>
      <c r="AG32">
        <v>2012</v>
      </c>
      <c r="AH32" t="s">
        <v>110</v>
      </c>
      <c r="AI32" t="s">
        <v>109</v>
      </c>
      <c r="AJ32" t="s">
        <v>6</v>
      </c>
      <c r="AL32">
        <v>2011</v>
      </c>
      <c r="AM32" t="s">
        <v>110</v>
      </c>
      <c r="AN32" t="s">
        <v>109</v>
      </c>
      <c r="AO32" t="s">
        <v>6</v>
      </c>
      <c r="AQ32">
        <v>2010</v>
      </c>
      <c r="AR32" t="s">
        <v>110</v>
      </c>
      <c r="AS32" t="s">
        <v>109</v>
      </c>
      <c r="AT32" t="s">
        <v>6</v>
      </c>
      <c r="AV32">
        <v>2009</v>
      </c>
      <c r="AW32" t="s">
        <v>110</v>
      </c>
      <c r="AX32" t="s">
        <v>109</v>
      </c>
      <c r="AY32" t="s">
        <v>6</v>
      </c>
    </row>
    <row r="33" spans="1:51" x14ac:dyDescent="0.3">
      <c r="A33" s="19" t="s">
        <v>15</v>
      </c>
      <c r="B33" s="15">
        <v>-723</v>
      </c>
      <c r="C33" s="45">
        <v>25</v>
      </c>
      <c r="E33" s="51"/>
      <c r="F33" s="15">
        <v>-44</v>
      </c>
      <c r="G33" s="45">
        <v>-1123</v>
      </c>
      <c r="I33" s="8">
        <v>748</v>
      </c>
      <c r="J33" s="14">
        <v>1757</v>
      </c>
      <c r="M33" s="55" t="s">
        <v>108</v>
      </c>
      <c r="N33">
        <f>(905+853)/2</f>
        <v>879</v>
      </c>
      <c r="O33">
        <v>2.4E-2</v>
      </c>
      <c r="P33">
        <f>+N33*O33</f>
        <v>21.096</v>
      </c>
      <c r="R33" s="55" t="s">
        <v>108</v>
      </c>
      <c r="S33">
        <f>(853+165)/2</f>
        <v>509</v>
      </c>
      <c r="T33">
        <v>1.9E-2</v>
      </c>
      <c r="U33">
        <f>+S33*T33</f>
        <v>9.6709999999999994</v>
      </c>
      <c r="W33" s="55" t="s">
        <v>108</v>
      </c>
      <c r="X33">
        <f>+(165+275)/2</f>
        <v>220</v>
      </c>
      <c r="Y33">
        <v>2.5000000000000001E-2</v>
      </c>
      <c r="Z33">
        <f>+X33*Y33</f>
        <v>5.5</v>
      </c>
      <c r="AA33" s="58"/>
      <c r="AB33" s="55" t="s">
        <v>108</v>
      </c>
      <c r="AC33">
        <v>281.89999999999998</v>
      </c>
      <c r="AD33">
        <v>0.02</v>
      </c>
      <c r="AE33">
        <f>+AC33*AD33</f>
        <v>5.6379999999999999</v>
      </c>
      <c r="AG33" s="55" t="s">
        <v>108</v>
      </c>
      <c r="AH33">
        <v>322.10000000000002</v>
      </c>
      <c r="AI33">
        <v>2.3E-2</v>
      </c>
      <c r="AJ33">
        <f>+AH33*AI33</f>
        <v>7.4083000000000006</v>
      </c>
      <c r="AL33" s="55" t="s">
        <v>108</v>
      </c>
      <c r="AM33">
        <v>70</v>
      </c>
      <c r="AN33">
        <v>2.4E-2</v>
      </c>
      <c r="AO33">
        <f>+AM33*AN33</f>
        <v>1.68</v>
      </c>
      <c r="AQ33" s="55" t="s">
        <v>108</v>
      </c>
      <c r="AR33">
        <v>121.7</v>
      </c>
      <c r="AS33">
        <v>2.7E-2</v>
      </c>
      <c r="AT33">
        <f>+AR33*AS33</f>
        <v>3.2858999999999998</v>
      </c>
      <c r="AV33" s="55" t="s">
        <v>108</v>
      </c>
      <c r="AW33">
        <v>426.3</v>
      </c>
      <c r="AX33">
        <v>2.9000000000000001E-2</v>
      </c>
      <c r="AY33">
        <f>+AW33*AX33</f>
        <v>12.3627</v>
      </c>
    </row>
    <row r="34" spans="1:51" x14ac:dyDescent="0.3">
      <c r="A34" s="20" t="s">
        <v>15</v>
      </c>
      <c r="B34" s="15">
        <v>-802</v>
      </c>
      <c r="C34" s="45">
        <v>-44</v>
      </c>
      <c r="E34" s="51"/>
      <c r="F34" s="15">
        <v>-77</v>
      </c>
      <c r="G34" s="45">
        <v>380</v>
      </c>
      <c r="I34" s="8">
        <v>-2975</v>
      </c>
      <c r="J34" s="14">
        <v>-594</v>
      </c>
      <c r="M34" s="55"/>
      <c r="N34">
        <v>498.274</v>
      </c>
      <c r="O34">
        <v>2.3E-2</v>
      </c>
      <c r="P34">
        <f t="shared" ref="P34:P41" si="14">+N34*O34</f>
        <v>11.460302</v>
      </c>
      <c r="R34" s="55"/>
      <c r="S34">
        <v>498.274</v>
      </c>
      <c r="T34">
        <f>0.018/6</f>
        <v>2.9999999999999996E-3</v>
      </c>
      <c r="U34">
        <f t="shared" ref="U34:U41" si="15">+S34*T34</f>
        <v>1.4948219999999999</v>
      </c>
      <c r="X34">
        <v>0</v>
      </c>
      <c r="Y34">
        <v>0</v>
      </c>
      <c r="Z34">
        <f t="shared" ref="Z34:Z41" si="16">+X34*Y34</f>
        <v>0</v>
      </c>
      <c r="AA34" s="58"/>
      <c r="AB34" s="55"/>
      <c r="AC34">
        <v>18.47</v>
      </c>
      <c r="AD34">
        <v>3.1399999999999997E-2</v>
      </c>
      <c r="AE34">
        <f t="shared" ref="AE34:AE39" si="17">+AC34*AD34</f>
        <v>0.57995799999999986</v>
      </c>
      <c r="AH34">
        <v>20.420999999999999</v>
      </c>
      <c r="AI34">
        <v>3.1399999999999997E-2</v>
      </c>
      <c r="AJ34">
        <f t="shared" ref="AJ34:AJ39" si="18">+AH34*AI34</f>
        <v>0.64121939999999988</v>
      </c>
      <c r="AM34">
        <v>297.88200000000001</v>
      </c>
      <c r="AN34">
        <v>8.2500000000000004E-2</v>
      </c>
      <c r="AO34">
        <f t="shared" ref="AO34:AO39" si="19">+AM34*AN34</f>
        <v>24.575265000000002</v>
      </c>
      <c r="AR34">
        <v>297.69600000000003</v>
      </c>
      <c r="AS34">
        <v>8.2500000000000004E-2</v>
      </c>
      <c r="AT34">
        <f t="shared" ref="AT34:AT39" si="20">+AR34*AS34</f>
        <v>24.559920000000002</v>
      </c>
      <c r="AW34">
        <v>297.524</v>
      </c>
      <c r="AX34">
        <f>0.0825/3</f>
        <v>2.75E-2</v>
      </c>
      <c r="AY34">
        <f t="shared" ref="AY34:AY39" si="21">+AW34*AX34</f>
        <v>8.1819100000000002</v>
      </c>
    </row>
    <row r="35" spans="1:51" x14ac:dyDescent="0.3">
      <c r="A35" s="19" t="s">
        <v>15</v>
      </c>
      <c r="B35" s="15">
        <v>-894</v>
      </c>
      <c r="C35" s="44">
        <v>-26</v>
      </c>
      <c r="E35" s="51"/>
      <c r="F35" s="15">
        <v>-227</v>
      </c>
      <c r="G35" s="44">
        <v>-548</v>
      </c>
      <c r="I35" s="8">
        <v>174</v>
      </c>
      <c r="J35" s="14">
        <v>894</v>
      </c>
      <c r="M35" s="55"/>
      <c r="N35">
        <v>12.173</v>
      </c>
      <c r="O35">
        <v>3.1E-2</v>
      </c>
      <c r="P35">
        <f t="shared" si="14"/>
        <v>0.377363</v>
      </c>
      <c r="R35" s="55"/>
      <c r="S35">
        <v>14.308999999999999</v>
      </c>
      <c r="T35">
        <v>3.1399999999999997E-2</v>
      </c>
      <c r="U35">
        <f t="shared" si="15"/>
        <v>0.44930259999999994</v>
      </c>
      <c r="X35">
        <v>16.375</v>
      </c>
      <c r="Y35">
        <v>3.1399999999999997E-2</v>
      </c>
      <c r="Z35">
        <f t="shared" si="16"/>
        <v>0.51417499999999994</v>
      </c>
      <c r="AA35" s="58"/>
      <c r="AB35" s="55"/>
      <c r="AC35">
        <v>298.30500000000001</v>
      </c>
      <c r="AD35">
        <v>8.2500000000000004E-2</v>
      </c>
      <c r="AE35">
        <f t="shared" si="17"/>
        <v>24.610162500000001</v>
      </c>
      <c r="AH35">
        <v>298.08499999999998</v>
      </c>
      <c r="AI35">
        <v>8.2500000000000004E-2</v>
      </c>
      <c r="AJ35">
        <f t="shared" si="18"/>
        <v>24.592012499999999</v>
      </c>
      <c r="AM35">
        <v>198.41900000000001</v>
      </c>
      <c r="AN35">
        <v>7.3749999999999996E-2</v>
      </c>
      <c r="AO35">
        <f t="shared" si="19"/>
        <v>14.63340125</v>
      </c>
      <c r="AR35">
        <v>198.29499999999999</v>
      </c>
      <c r="AS35">
        <f>0.07375*0.75</f>
        <v>5.5312500000000001E-2</v>
      </c>
      <c r="AT35">
        <f t="shared" si="20"/>
        <v>10.9681921875</v>
      </c>
      <c r="AY35">
        <f t="shared" si="21"/>
        <v>0</v>
      </c>
    </row>
    <row r="36" spans="1:51" x14ac:dyDescent="0.3">
      <c r="A36" s="19" t="s">
        <v>15</v>
      </c>
      <c r="B36" s="15">
        <v>-768</v>
      </c>
      <c r="C36" s="44">
        <v>-10</v>
      </c>
      <c r="E36" s="51"/>
      <c r="F36" s="15">
        <v>-89</v>
      </c>
      <c r="G36" s="44">
        <v>-1144</v>
      </c>
      <c r="I36" s="8">
        <v>257</v>
      </c>
      <c r="J36" s="15">
        <v>2056</v>
      </c>
      <c r="M36" s="55"/>
      <c r="N36">
        <v>196.57400000000001</v>
      </c>
      <c r="O36">
        <f>0.07375*11/12</f>
        <v>6.760416666666666E-2</v>
      </c>
      <c r="P36">
        <f t="shared" si="14"/>
        <v>13.289221458333333</v>
      </c>
      <c r="R36" s="55"/>
      <c r="S36">
        <v>196.57400000000001</v>
      </c>
      <c r="T36">
        <v>7.3749999999999996E-2</v>
      </c>
      <c r="U36">
        <f t="shared" si="15"/>
        <v>14.497332500000001</v>
      </c>
      <c r="X36">
        <v>195.99700000000001</v>
      </c>
      <c r="Y36">
        <v>7.3749999999999996E-2</v>
      </c>
      <c r="Z36">
        <f t="shared" si="16"/>
        <v>14.454778750000001</v>
      </c>
      <c r="AA36" s="58"/>
      <c r="AB36" s="55"/>
      <c r="AC36">
        <v>198.69499999999999</v>
      </c>
      <c r="AD36">
        <v>7.3749999999999996E-2</v>
      </c>
      <c r="AE36">
        <f t="shared" si="17"/>
        <v>14.653756249999999</v>
      </c>
      <c r="AH36">
        <v>198.55199999999999</v>
      </c>
      <c r="AI36">
        <v>7.3749999999999996E-2</v>
      </c>
      <c r="AJ36">
        <f t="shared" si="18"/>
        <v>14.643209999999998</v>
      </c>
      <c r="AM36">
        <v>400</v>
      </c>
      <c r="AN36">
        <v>7.1249999999999994E-2</v>
      </c>
      <c r="AO36">
        <f t="shared" si="19"/>
        <v>28.499999999999996</v>
      </c>
      <c r="AR36">
        <v>400</v>
      </c>
      <c r="AS36">
        <f>0.07125/3</f>
        <v>2.3749999999999997E-2</v>
      </c>
      <c r="AT36">
        <f t="shared" si="20"/>
        <v>9.4999999999999982</v>
      </c>
      <c r="AY36">
        <f t="shared" si="21"/>
        <v>0</v>
      </c>
    </row>
    <row r="37" spans="1:51" x14ac:dyDescent="0.3">
      <c r="A37" s="21" t="s">
        <v>15</v>
      </c>
      <c r="B37" s="12">
        <v>-694</v>
      </c>
      <c r="C37" s="46">
        <v>-44</v>
      </c>
      <c r="E37" s="51"/>
      <c r="F37" s="12">
        <v>-317</v>
      </c>
      <c r="G37" s="46">
        <v>4463</v>
      </c>
      <c r="I37" s="12">
        <v>-18884</v>
      </c>
      <c r="J37" s="16">
        <v>-14635</v>
      </c>
      <c r="M37" s="55"/>
      <c r="N37">
        <v>395.36500000000001</v>
      </c>
      <c r="O37">
        <f>0.07125*11/12</f>
        <v>6.5312499999999996E-2</v>
      </c>
      <c r="P37">
        <f t="shared" si="14"/>
        <v>25.822276562499997</v>
      </c>
      <c r="R37" s="55"/>
      <c r="S37">
        <v>395.36500000000001</v>
      </c>
      <c r="T37">
        <v>7.1249999999999994E-2</v>
      </c>
      <c r="U37">
        <f t="shared" si="15"/>
        <v>28.169756249999999</v>
      </c>
      <c r="X37">
        <v>394.66800000000001</v>
      </c>
      <c r="Y37">
        <v>7.1249999999999994E-2</v>
      </c>
      <c r="Z37">
        <f t="shared" si="16"/>
        <v>28.120094999999999</v>
      </c>
      <c r="AA37" s="58"/>
      <c r="AB37" s="55"/>
      <c r="AC37">
        <v>400</v>
      </c>
      <c r="AD37">
        <v>7.1249999999999994E-2</v>
      </c>
      <c r="AE37">
        <f t="shared" si="17"/>
        <v>28.499999999999996</v>
      </c>
      <c r="AH37">
        <v>400</v>
      </c>
      <c r="AI37">
        <v>7.1249999999999994E-2</v>
      </c>
      <c r="AJ37">
        <f t="shared" si="18"/>
        <v>28.499999999999996</v>
      </c>
      <c r="AO37">
        <f t="shared" si="19"/>
        <v>0</v>
      </c>
      <c r="AT37">
        <f t="shared" si="20"/>
        <v>0</v>
      </c>
      <c r="AY37">
        <f t="shared" si="21"/>
        <v>0</v>
      </c>
    </row>
    <row r="38" spans="1:51" x14ac:dyDescent="0.3">
      <c r="A38" s="20" t="s">
        <v>21</v>
      </c>
      <c r="B38" s="8">
        <v>0</v>
      </c>
      <c r="C38" s="44">
        <v>0</v>
      </c>
      <c r="E38" s="51"/>
      <c r="F38" s="8"/>
      <c r="G38" s="44"/>
      <c r="I38" s="8">
        <v>0</v>
      </c>
      <c r="J38" s="8"/>
      <c r="M38" s="55"/>
      <c r="N38">
        <v>1997.1880000000001</v>
      </c>
      <c r="O38">
        <v>0.05</v>
      </c>
      <c r="P38">
        <f t="shared" si="14"/>
        <v>99.859400000000008</v>
      </c>
      <c r="R38" s="55"/>
      <c r="S38">
        <v>1996.8309999999999</v>
      </c>
      <c r="T38">
        <v>0.05</v>
      </c>
      <c r="U38">
        <f t="shared" si="15"/>
        <v>99.841549999999998</v>
      </c>
      <c r="X38">
        <v>1996.5070000000001</v>
      </c>
      <c r="Y38">
        <v>0.05</v>
      </c>
      <c r="Z38">
        <f t="shared" si="16"/>
        <v>99.825350000000014</v>
      </c>
      <c r="AA38" s="58"/>
      <c r="AB38" s="55"/>
      <c r="AC38">
        <v>2025.3620000000001</v>
      </c>
      <c r="AD38">
        <v>0.05</v>
      </c>
      <c r="AE38">
        <f t="shared" si="17"/>
        <v>101.2681</v>
      </c>
      <c r="AH38">
        <v>2027.663</v>
      </c>
      <c r="AI38">
        <v>0.05</v>
      </c>
      <c r="AJ38">
        <f t="shared" si="18"/>
        <v>101.38315</v>
      </c>
      <c r="AO38">
        <f t="shared" si="19"/>
        <v>0</v>
      </c>
      <c r="AT38">
        <f t="shared" si="20"/>
        <v>0</v>
      </c>
      <c r="AY38">
        <f t="shared" si="21"/>
        <v>0</v>
      </c>
    </row>
    <row r="39" spans="1:51" x14ac:dyDescent="0.3">
      <c r="A39" s="20" t="s">
        <v>21</v>
      </c>
      <c r="B39" s="8">
        <v>0</v>
      </c>
      <c r="C39" s="44">
        <v>0</v>
      </c>
      <c r="E39" s="51"/>
      <c r="F39" s="8"/>
      <c r="G39" s="44"/>
      <c r="I39" s="8">
        <v>0</v>
      </c>
      <c r="J39" s="8"/>
      <c r="M39" s="55"/>
      <c r="N39">
        <v>1484.5239999999999</v>
      </c>
      <c r="O39">
        <v>4.4999999999999998E-2</v>
      </c>
      <c r="P39">
        <f t="shared" si="14"/>
        <v>66.803579999999997</v>
      </c>
      <c r="R39" s="55"/>
      <c r="S39">
        <v>1482.451</v>
      </c>
      <c r="T39">
        <v>4.4999999999999998E-2</v>
      </c>
      <c r="U39">
        <f t="shared" si="15"/>
        <v>66.710295000000002</v>
      </c>
      <c r="X39">
        <v>1480.479</v>
      </c>
      <c r="Y39">
        <v>4.4999999999999998E-2</v>
      </c>
      <c r="Z39">
        <f t="shared" si="16"/>
        <v>66.621555000000001</v>
      </c>
      <c r="AA39" s="58"/>
      <c r="AB39" s="55"/>
      <c r="AC39">
        <v>1500</v>
      </c>
      <c r="AD39">
        <v>4.4999999999999998E-2</v>
      </c>
      <c r="AE39">
        <f t="shared" si="17"/>
        <v>67.5</v>
      </c>
      <c r="AH39">
        <v>0</v>
      </c>
      <c r="AI39">
        <v>4.4999999999999998E-2</v>
      </c>
      <c r="AJ39">
        <f t="shared" si="18"/>
        <v>0</v>
      </c>
      <c r="AO39">
        <f t="shared" si="19"/>
        <v>0</v>
      </c>
      <c r="AT39">
        <f t="shared" si="20"/>
        <v>0</v>
      </c>
      <c r="AY39">
        <f t="shared" si="21"/>
        <v>0</v>
      </c>
    </row>
    <row r="40" spans="1:51" x14ac:dyDescent="0.3">
      <c r="A40" s="20" t="s">
        <v>21</v>
      </c>
      <c r="B40" s="8">
        <v>-1776</v>
      </c>
      <c r="C40" s="45">
        <v>-998</v>
      </c>
      <c r="E40" s="51"/>
      <c r="F40" s="8">
        <v>-1289</v>
      </c>
      <c r="G40" s="45">
        <v>-5090</v>
      </c>
      <c r="I40" s="8">
        <v>-17336</v>
      </c>
      <c r="J40" s="14">
        <v>4492</v>
      </c>
      <c r="M40" s="55"/>
      <c r="N40">
        <v>990.96400000000006</v>
      </c>
      <c r="O40">
        <v>3.7999999999999999E-2</v>
      </c>
      <c r="P40">
        <f t="shared" si="14"/>
        <v>37.656632000000002</v>
      </c>
      <c r="R40" s="55"/>
      <c r="S40">
        <v>989.93200000000002</v>
      </c>
      <c r="T40">
        <v>3.7999999999999999E-2</v>
      </c>
      <c r="U40">
        <f t="shared" si="15"/>
        <v>37.617415999999999</v>
      </c>
      <c r="X40">
        <v>988.94</v>
      </c>
      <c r="Y40">
        <f>0.038*2/3</f>
        <v>2.5333333333333333E-2</v>
      </c>
      <c r="Z40">
        <f t="shared" si="16"/>
        <v>25.053146666666667</v>
      </c>
      <c r="AA40" s="58"/>
      <c r="AB40" s="55"/>
      <c r="AC40">
        <f>SUM(AC33:AC39)</f>
        <v>4722.732</v>
      </c>
      <c r="AE40" s="86">
        <f>SUM(AE33:AE39)</f>
        <v>242.74997675</v>
      </c>
      <c r="AH40">
        <f>SUM(AH33:AH39)</f>
        <v>3266.8209999999999</v>
      </c>
      <c r="AJ40" s="85">
        <f>SUM(AJ33:AJ39)</f>
        <v>177.1678919</v>
      </c>
      <c r="AM40">
        <f>SUM(AM33:AM39)</f>
        <v>966.30100000000004</v>
      </c>
      <c r="AO40" s="85">
        <f>SUM(AO33:AO39)</f>
        <v>69.38866625</v>
      </c>
      <c r="AR40">
        <f>SUM(AR33:AR39)</f>
        <v>1017.691</v>
      </c>
      <c r="AT40" s="85">
        <f>SUM(AT33:AT39)</f>
        <v>48.314012187500005</v>
      </c>
      <c r="AW40">
        <f>SUM(AW33:AW39)</f>
        <v>723.82400000000007</v>
      </c>
      <c r="AY40" s="85">
        <f>SUM(AY33:AY39)</f>
        <v>20.544609999999999</v>
      </c>
    </row>
    <row r="41" spans="1:51" x14ac:dyDescent="0.3">
      <c r="A41" s="20" t="s">
        <v>21</v>
      </c>
      <c r="B41" s="8">
        <v>-1658</v>
      </c>
      <c r="C41" s="45">
        <v>-1210</v>
      </c>
      <c r="E41" s="51"/>
      <c r="F41" s="8">
        <v>-1167</v>
      </c>
      <c r="G41" s="45">
        <v>-7570</v>
      </c>
      <c r="I41" s="8">
        <v>-17908</v>
      </c>
      <c r="J41" s="14">
        <v>11417</v>
      </c>
      <c r="M41" s="58"/>
      <c r="N41" s="55">
        <v>691.19899999999996</v>
      </c>
      <c r="O41">
        <v>4.9000000000000002E-2</v>
      </c>
      <c r="P41">
        <f t="shared" si="14"/>
        <v>33.868750999999996</v>
      </c>
      <c r="R41" s="58"/>
      <c r="S41" s="55">
        <v>691.05200000000002</v>
      </c>
      <c r="T41">
        <v>4.9000000000000002E-2</v>
      </c>
      <c r="U41">
        <f t="shared" si="15"/>
        <v>33.861547999999999</v>
      </c>
      <c r="X41">
        <v>690.91200000000003</v>
      </c>
      <c r="Y41">
        <f>0.049*2/3</f>
        <v>3.266666666666667E-2</v>
      </c>
      <c r="Z41">
        <f t="shared" si="16"/>
        <v>22.569792000000003</v>
      </c>
    </row>
    <row r="42" spans="1:51" x14ac:dyDescent="0.3">
      <c r="A42" s="20" t="s">
        <v>21</v>
      </c>
      <c r="B42" s="8">
        <v>-1442</v>
      </c>
      <c r="C42" s="45">
        <v>-9827</v>
      </c>
      <c r="E42" s="51"/>
      <c r="F42" s="8">
        <v>-954</v>
      </c>
      <c r="G42" s="45">
        <v>-8208</v>
      </c>
      <c r="I42" s="8">
        <v>-27857</v>
      </c>
      <c r="J42" s="14">
        <v>12502</v>
      </c>
      <c r="M42" s="58"/>
      <c r="N42" s="55"/>
      <c r="R42" s="58"/>
      <c r="S42" s="55"/>
    </row>
    <row r="43" spans="1:51" x14ac:dyDescent="0.3">
      <c r="A43" s="20" t="s">
        <v>21</v>
      </c>
      <c r="B43" s="10">
        <v>-1324</v>
      </c>
      <c r="C43" s="45">
        <v>-8100</v>
      </c>
      <c r="E43" s="51"/>
      <c r="F43" s="10">
        <v>-709</v>
      </c>
      <c r="G43" s="45">
        <v>-7942</v>
      </c>
      <c r="I43" s="8">
        <v>-21386</v>
      </c>
      <c r="J43" s="14">
        <v>8498</v>
      </c>
      <c r="M43" s="58"/>
      <c r="N43">
        <f>SUM(N33:N42)</f>
        <v>7145.2609999999995</v>
      </c>
      <c r="P43" s="86">
        <f>SUM(P33:P42)</f>
        <v>310.23352602083332</v>
      </c>
      <c r="R43" s="58"/>
      <c r="S43">
        <f>SUM(S33:S42)</f>
        <v>6773.7879999999996</v>
      </c>
      <c r="U43" s="86">
        <f>SUM(U33:U42)</f>
        <v>292.31302234999998</v>
      </c>
      <c r="X43">
        <f>SUM(X33:X42)</f>
        <v>5983.8780000000006</v>
      </c>
      <c r="Z43" s="86">
        <f>SUM(Z33:Z42)</f>
        <v>262.65889241666667</v>
      </c>
    </row>
    <row r="44" spans="1:51" x14ac:dyDescent="0.3">
      <c r="A44" s="20" t="s">
        <v>21</v>
      </c>
      <c r="B44" s="8">
        <v>-1279</v>
      </c>
      <c r="C44" s="45">
        <v>-4910</v>
      </c>
      <c r="E44" s="51"/>
      <c r="F44" s="8">
        <v>-612</v>
      </c>
      <c r="G44" s="45">
        <v>-6409</v>
      </c>
      <c r="I44" s="8">
        <v>-19718</v>
      </c>
      <c r="J44" s="14">
        <v>9215</v>
      </c>
      <c r="R44" s="58"/>
      <c r="S44" s="55"/>
    </row>
    <row r="45" spans="1:51" x14ac:dyDescent="0.3">
      <c r="A45" s="20" t="s">
        <v>21</v>
      </c>
      <c r="B45" s="8">
        <v>-1136</v>
      </c>
      <c r="C45" s="45">
        <v>-4203</v>
      </c>
      <c r="E45" s="51"/>
      <c r="F45" s="8">
        <v>-648</v>
      </c>
      <c r="G45" s="45">
        <v>-3583</v>
      </c>
      <c r="I45" s="8">
        <v>-21264</v>
      </c>
      <c r="J45" s="15">
        <v>6938</v>
      </c>
      <c r="R45" s="53"/>
      <c r="S45" s="55"/>
    </row>
    <row r="46" spans="1:51" x14ac:dyDescent="0.3">
      <c r="A46" s="22" t="s">
        <v>21</v>
      </c>
      <c r="B46" s="12">
        <v>-1214</v>
      </c>
      <c r="C46" s="46">
        <v>-523</v>
      </c>
      <c r="E46" s="51"/>
      <c r="F46" s="12">
        <v>-920</v>
      </c>
      <c r="G46" s="46">
        <v>2868</v>
      </c>
      <c r="I46" s="12">
        <v>-13740</v>
      </c>
      <c r="J46" s="16">
        <v>-4371</v>
      </c>
      <c r="R46" s="53"/>
      <c r="S46" s="55"/>
    </row>
    <row r="47" spans="1:51" x14ac:dyDescent="0.3">
      <c r="A47" s="19" t="s">
        <v>16</v>
      </c>
      <c r="B47" s="8">
        <v>0</v>
      </c>
      <c r="C47" s="44">
        <v>0</v>
      </c>
      <c r="E47" s="51"/>
      <c r="F47" s="8"/>
      <c r="G47" s="44"/>
      <c r="I47" s="8">
        <v>0</v>
      </c>
      <c r="J47" s="8"/>
      <c r="M47" s="53"/>
      <c r="N47" s="55"/>
    </row>
    <row r="48" spans="1:51" x14ac:dyDescent="0.3">
      <c r="A48" s="19" t="s">
        <v>16</v>
      </c>
      <c r="B48" s="8">
        <v>0</v>
      </c>
      <c r="C48" s="44">
        <v>0</v>
      </c>
      <c r="E48" s="51"/>
      <c r="F48" s="8"/>
      <c r="G48" s="44"/>
      <c r="I48" s="8">
        <v>0</v>
      </c>
      <c r="J48" s="8"/>
      <c r="N48" s="55"/>
    </row>
    <row r="49" spans="1:10" x14ac:dyDescent="0.3">
      <c r="A49" s="19" t="s">
        <v>16</v>
      </c>
      <c r="B49" s="8">
        <v>-437</v>
      </c>
      <c r="C49" s="45">
        <v>-68</v>
      </c>
      <c r="E49" s="51"/>
      <c r="F49" s="8">
        <v>-349</v>
      </c>
      <c r="G49" s="45">
        <f>-241+2014</f>
        <v>1773</v>
      </c>
      <c r="I49" s="8">
        <v>-6234</v>
      </c>
      <c r="J49" s="14">
        <v>-2479</v>
      </c>
    </row>
    <row r="50" spans="1:10" x14ac:dyDescent="0.3">
      <c r="A50" s="19" t="s">
        <v>16</v>
      </c>
      <c r="B50" s="8">
        <v>-408</v>
      </c>
      <c r="C50" s="45">
        <v>-955</v>
      </c>
      <c r="E50" s="51"/>
      <c r="F50" s="8">
        <v>-363</v>
      </c>
      <c r="G50" s="45">
        <f>-516-719</f>
        <v>-1235</v>
      </c>
      <c r="I50" s="8">
        <v>280</v>
      </c>
      <c r="J50" s="14">
        <v>4550</v>
      </c>
    </row>
    <row r="51" spans="1:10" x14ac:dyDescent="0.3">
      <c r="A51" s="19" t="s">
        <v>16</v>
      </c>
      <c r="B51" s="8">
        <v>-414</v>
      </c>
      <c r="C51" s="45">
        <v>383</v>
      </c>
      <c r="E51" s="51"/>
      <c r="F51" s="8">
        <v>-331</v>
      </c>
      <c r="G51" s="45">
        <v>-2156</v>
      </c>
      <c r="I51" s="8">
        <v>181</v>
      </c>
      <c r="J51" s="14">
        <v>4704</v>
      </c>
    </row>
    <row r="52" spans="1:10" x14ac:dyDescent="0.3">
      <c r="A52" s="20" t="s">
        <v>16</v>
      </c>
      <c r="B52" s="10">
        <v>-440</v>
      </c>
      <c r="C52" s="45">
        <v>-100</v>
      </c>
      <c r="E52" s="51"/>
      <c r="F52" s="8">
        <v>-370</v>
      </c>
      <c r="G52" s="45">
        <v>132</v>
      </c>
      <c r="I52" s="8">
        <v>-1572</v>
      </c>
      <c r="J52" s="14">
        <v>-206</v>
      </c>
    </row>
    <row r="53" spans="1:10" x14ac:dyDescent="0.3">
      <c r="A53" s="19" t="s">
        <v>16</v>
      </c>
      <c r="B53" s="8">
        <v>-466</v>
      </c>
      <c r="C53" s="45">
        <v>-13</v>
      </c>
      <c r="E53" s="51"/>
      <c r="F53" s="8">
        <v>-417</v>
      </c>
      <c r="G53" s="45">
        <v>-169</v>
      </c>
      <c r="I53" s="8">
        <v>-2657</v>
      </c>
      <c r="J53" s="14">
        <v>-20</v>
      </c>
    </row>
    <row r="54" spans="1:10" x14ac:dyDescent="0.3">
      <c r="A54" s="19" t="s">
        <v>16</v>
      </c>
      <c r="B54" s="8">
        <v>-532</v>
      </c>
      <c r="C54" s="45">
        <v>-899</v>
      </c>
      <c r="E54" s="51"/>
      <c r="F54" s="8">
        <v>-526</v>
      </c>
      <c r="G54" s="44">
        <v>-2368</v>
      </c>
      <c r="I54" s="8">
        <v>546</v>
      </c>
      <c r="J54" s="15">
        <v>1691</v>
      </c>
    </row>
    <row r="55" spans="1:10" x14ac:dyDescent="0.3">
      <c r="A55" s="21" t="s">
        <v>16</v>
      </c>
      <c r="B55" s="12">
        <v>-565</v>
      </c>
      <c r="C55" s="46">
        <v>279</v>
      </c>
      <c r="E55" s="51"/>
      <c r="F55" s="12">
        <v>-517</v>
      </c>
      <c r="G55" s="46">
        <v>6065</v>
      </c>
      <c r="I55" s="12">
        <v>-21031</v>
      </c>
      <c r="J55" s="16">
        <v>-15203</v>
      </c>
    </row>
    <row r="56" spans="1:10" x14ac:dyDescent="0.3">
      <c r="A56" s="19" t="s">
        <v>2</v>
      </c>
      <c r="B56" s="8">
        <v>0</v>
      </c>
      <c r="C56" s="44">
        <v>0</v>
      </c>
      <c r="E56" s="51"/>
      <c r="F56" s="8"/>
      <c r="G56" s="44"/>
      <c r="I56" s="8">
        <v>0</v>
      </c>
      <c r="J56" s="8"/>
    </row>
    <row r="57" spans="1:10" x14ac:dyDescent="0.3">
      <c r="A57" s="19" t="s">
        <v>2</v>
      </c>
      <c r="B57" s="8">
        <v>0</v>
      </c>
      <c r="C57" s="44">
        <v>0</v>
      </c>
      <c r="E57" s="51"/>
      <c r="F57" s="8"/>
      <c r="G57" s="44"/>
      <c r="I57" s="8">
        <v>0</v>
      </c>
      <c r="J57" s="8"/>
    </row>
    <row r="58" spans="1:10" x14ac:dyDescent="0.3">
      <c r="A58" s="19" t="s">
        <v>2</v>
      </c>
      <c r="B58" s="8">
        <v>-507</v>
      </c>
      <c r="C58" s="45">
        <v>-766</v>
      </c>
      <c r="E58" s="51"/>
      <c r="F58" s="8"/>
      <c r="G58" s="45"/>
      <c r="I58" s="8">
        <v>-7559</v>
      </c>
      <c r="J58" s="14"/>
    </row>
    <row r="59" spans="1:10" x14ac:dyDescent="0.3">
      <c r="A59" s="19" t="s">
        <v>2</v>
      </c>
      <c r="B59" s="8">
        <v>-507</v>
      </c>
      <c r="C59" s="45">
        <v>-2024</v>
      </c>
      <c r="E59" s="51"/>
      <c r="F59" s="8"/>
      <c r="G59" s="45"/>
      <c r="I59" s="8">
        <v>-6373</v>
      </c>
      <c r="J59" s="14"/>
    </row>
    <row r="60" spans="1:10" x14ac:dyDescent="0.3">
      <c r="A60" s="19" t="s">
        <v>2</v>
      </c>
      <c r="B60" s="8">
        <v>-486</v>
      </c>
      <c r="C60" s="45">
        <v>88</v>
      </c>
      <c r="E60" s="51"/>
      <c r="F60" s="8"/>
      <c r="G60" s="45"/>
      <c r="I60" s="8">
        <v>-5869</v>
      </c>
      <c r="J60" s="14"/>
    </row>
    <row r="61" spans="1:10" x14ac:dyDescent="0.3">
      <c r="A61" s="20" t="s">
        <v>2</v>
      </c>
      <c r="B61" s="10">
        <v>-509</v>
      </c>
      <c r="C61" s="45">
        <v>124</v>
      </c>
      <c r="E61" s="51"/>
      <c r="F61" s="10"/>
      <c r="G61" s="45"/>
      <c r="I61" s="8">
        <v>-2638</v>
      </c>
      <c r="J61" s="14"/>
    </row>
    <row r="62" spans="1:10" x14ac:dyDescent="0.3">
      <c r="A62" s="19" t="s">
        <v>2</v>
      </c>
      <c r="B62" s="8">
        <v>-575</v>
      </c>
      <c r="C62" s="45">
        <v>186</v>
      </c>
      <c r="E62" s="51"/>
      <c r="F62" s="8"/>
      <c r="G62" s="45"/>
      <c r="I62" s="8">
        <v>-2950</v>
      </c>
      <c r="J62" s="14"/>
    </row>
    <row r="63" spans="1:10" x14ac:dyDescent="0.3">
      <c r="A63" s="19" t="s">
        <v>2</v>
      </c>
      <c r="B63" s="8">
        <v>-648</v>
      </c>
      <c r="C63" s="45">
        <v>-43</v>
      </c>
      <c r="E63" s="51"/>
      <c r="F63" s="8"/>
      <c r="G63" s="45"/>
      <c r="I63" s="8">
        <v>-5319</v>
      </c>
      <c r="J63" s="15"/>
    </row>
    <row r="64" spans="1:10" x14ac:dyDescent="0.3">
      <c r="A64" s="21" t="s">
        <v>2</v>
      </c>
      <c r="B64" s="12"/>
      <c r="C64" s="46"/>
      <c r="E64" s="51"/>
      <c r="F64" s="12"/>
      <c r="G64" s="46"/>
      <c r="I64" s="12">
        <v>0</v>
      </c>
      <c r="J64" s="16"/>
    </row>
    <row r="65" spans="1:10" x14ac:dyDescent="0.3">
      <c r="A65" s="19" t="s">
        <v>3</v>
      </c>
      <c r="B65" s="8">
        <v>0</v>
      </c>
      <c r="C65" s="44">
        <v>0</v>
      </c>
      <c r="E65" s="51"/>
      <c r="F65" s="8"/>
      <c r="G65" s="44"/>
      <c r="I65" s="8">
        <v>0</v>
      </c>
      <c r="J65" s="8"/>
    </row>
    <row r="66" spans="1:10" x14ac:dyDescent="0.3">
      <c r="A66" s="19" t="s">
        <v>3</v>
      </c>
      <c r="B66" s="8">
        <v>0</v>
      </c>
      <c r="C66" s="44">
        <v>0</v>
      </c>
      <c r="E66" s="51"/>
      <c r="F66" s="8"/>
      <c r="G66" s="44"/>
      <c r="I66" s="8">
        <v>0</v>
      </c>
      <c r="J66" s="8"/>
    </row>
    <row r="67" spans="1:10" x14ac:dyDescent="0.3">
      <c r="A67" s="19" t="s">
        <v>3</v>
      </c>
      <c r="B67" s="8">
        <v>-100.93899999999999</v>
      </c>
      <c r="C67" s="45">
        <v>-51.683999999999997</v>
      </c>
      <c r="E67" s="51"/>
      <c r="F67" s="8">
        <v>-100.901</v>
      </c>
      <c r="G67" s="45">
        <v>-325.38400000000001</v>
      </c>
      <c r="I67" s="8">
        <v>680.35</v>
      </c>
      <c r="J67" s="14">
        <v>546.62699999999995</v>
      </c>
    </row>
    <row r="68" spans="1:10" x14ac:dyDescent="0.3">
      <c r="A68" s="19" t="s">
        <v>3</v>
      </c>
      <c r="B68" s="8">
        <v>-146.73099999999999</v>
      </c>
      <c r="C68" s="45">
        <v>-233.46199999999999</v>
      </c>
      <c r="E68" s="51"/>
      <c r="F68" s="8">
        <v>-129.58600000000001</v>
      </c>
      <c r="G68" s="45">
        <v>-247.322</v>
      </c>
      <c r="I68" s="8">
        <v>-1237.2510000000009</v>
      </c>
      <c r="J68" s="14">
        <v>160.654</v>
      </c>
    </row>
    <row r="69" spans="1:10" x14ac:dyDescent="0.3">
      <c r="A69" s="19" t="s">
        <v>3</v>
      </c>
      <c r="B69" s="8">
        <v>-186.71799999999999</v>
      </c>
      <c r="C69" s="45">
        <v>-260.22399999999999</v>
      </c>
      <c r="E69" s="51"/>
      <c r="F69" s="8">
        <v>-210.363</v>
      </c>
      <c r="G69" s="45">
        <v>-818.67600000000004</v>
      </c>
      <c r="I69" s="8">
        <v>308.08999999999969</v>
      </c>
      <c r="J69" s="14">
        <v>1091.123</v>
      </c>
    </row>
    <row r="70" spans="1:10" x14ac:dyDescent="0.3">
      <c r="A70" s="20" t="s">
        <v>3</v>
      </c>
      <c r="B70" s="10">
        <v>-196.94399999999999</v>
      </c>
      <c r="C70" s="45">
        <v>-360.00599999999997</v>
      </c>
      <c r="E70" s="51"/>
      <c r="F70" s="10">
        <v>-213.55199999999999</v>
      </c>
      <c r="G70" s="45">
        <v>-710.46100000000001</v>
      </c>
      <c r="I70" s="8">
        <v>-417.72699999999668</v>
      </c>
      <c r="J70" s="14">
        <v>570.279</v>
      </c>
    </row>
    <row r="71" spans="1:10" x14ac:dyDescent="0.3">
      <c r="A71" s="19" t="s">
        <v>3</v>
      </c>
      <c r="B71" s="8">
        <v>-235.85400000000001</v>
      </c>
      <c r="C71" s="45">
        <v>-294.73899999999998</v>
      </c>
      <c r="E71" s="51"/>
      <c r="F71" s="8">
        <v>-235.46</v>
      </c>
      <c r="G71" s="45">
        <v>-1239.777</v>
      </c>
      <c r="I71" s="8">
        <v>-809.81100000000106</v>
      </c>
      <c r="J71" s="14">
        <v>2197.1089999999999</v>
      </c>
    </row>
    <row r="72" spans="1:10" x14ac:dyDescent="0.3">
      <c r="A72" s="19" t="s">
        <v>3</v>
      </c>
      <c r="B72" s="8">
        <v>-197.38300000000001</v>
      </c>
      <c r="C72" s="45">
        <v>-342.74099999999999</v>
      </c>
      <c r="E72" s="51"/>
      <c r="F72" s="8">
        <v>-201.458</v>
      </c>
      <c r="G72" s="45">
        <v>-2079.828</v>
      </c>
      <c r="I72" s="8">
        <v>1125.0270000000019</v>
      </c>
      <c r="J72" s="15">
        <v>2915.4870000000001</v>
      </c>
    </row>
    <row r="73" spans="1:10" x14ac:dyDescent="0.3">
      <c r="A73" s="21" t="s">
        <v>3</v>
      </c>
      <c r="B73" s="12"/>
      <c r="C73" s="46"/>
      <c r="E73" s="51"/>
      <c r="F73" s="12"/>
      <c r="G73" s="46"/>
      <c r="I73" s="12">
        <v>0</v>
      </c>
      <c r="J73" s="16"/>
    </row>
    <row r="74" spans="1:10" x14ac:dyDescent="0.3">
      <c r="A74" s="19" t="s">
        <v>17</v>
      </c>
      <c r="B74" s="8">
        <v>0</v>
      </c>
      <c r="C74" s="44">
        <v>0</v>
      </c>
      <c r="E74" s="51"/>
      <c r="F74" s="8"/>
      <c r="G74" s="44"/>
      <c r="I74" s="8">
        <v>0</v>
      </c>
      <c r="J74" s="8"/>
    </row>
    <row r="75" spans="1:10" x14ac:dyDescent="0.3">
      <c r="A75" s="19" t="s">
        <v>17</v>
      </c>
      <c r="B75" s="8">
        <v>0</v>
      </c>
      <c r="C75" s="44">
        <v>0</v>
      </c>
      <c r="E75" s="51"/>
      <c r="F75" s="8"/>
      <c r="G75" s="44"/>
      <c r="I75" s="8">
        <v>0</v>
      </c>
      <c r="J75" s="8"/>
    </row>
    <row r="76" spans="1:10" x14ac:dyDescent="0.3">
      <c r="A76" s="19" t="s">
        <v>17</v>
      </c>
      <c r="B76" s="8">
        <v>-164</v>
      </c>
      <c r="C76" s="45">
        <v>-1400</v>
      </c>
      <c r="E76" s="51"/>
      <c r="F76" s="8">
        <v>-133</v>
      </c>
      <c r="G76" s="45">
        <v>-2063</v>
      </c>
      <c r="I76" s="8">
        <v>1693</v>
      </c>
      <c r="J76" s="14">
        <v>2966</v>
      </c>
    </row>
    <row r="77" spans="1:10" x14ac:dyDescent="0.3">
      <c r="A77" s="19" t="s">
        <v>17</v>
      </c>
      <c r="B77" s="8">
        <v>-161</v>
      </c>
      <c r="C77" s="45">
        <v>-2400</v>
      </c>
      <c r="E77" s="51"/>
      <c r="F77" s="8">
        <v>-116</v>
      </c>
      <c r="G77" s="45">
        <v>-2995</v>
      </c>
      <c r="I77" s="8">
        <v>334</v>
      </c>
      <c r="J77" s="14">
        <v>4602</v>
      </c>
    </row>
    <row r="78" spans="1:10" x14ac:dyDescent="0.3">
      <c r="A78" s="19" t="s">
        <v>17</v>
      </c>
      <c r="B78" s="8">
        <v>-315</v>
      </c>
      <c r="C78" s="45">
        <v>-2900</v>
      </c>
      <c r="E78" s="51"/>
      <c r="F78" s="8">
        <v>-298</v>
      </c>
      <c r="G78" s="45">
        <v>-4201</v>
      </c>
      <c r="I78" s="8">
        <v>-1101</v>
      </c>
      <c r="J78" s="14">
        <v>6771</v>
      </c>
    </row>
    <row r="79" spans="1:10" x14ac:dyDescent="0.3">
      <c r="A79" s="20" t="s">
        <v>17</v>
      </c>
      <c r="B79" s="10">
        <v>-190</v>
      </c>
      <c r="C79" s="45">
        <v>-2300</v>
      </c>
      <c r="E79" s="51"/>
      <c r="F79" s="10">
        <v>-154</v>
      </c>
      <c r="G79" s="45">
        <v>-2659</v>
      </c>
      <c r="I79" s="8">
        <v>-5717</v>
      </c>
      <c r="J79" s="14">
        <v>4598</v>
      </c>
    </row>
    <row r="80" spans="1:10" x14ac:dyDescent="0.3">
      <c r="A80" s="19" t="s">
        <v>17</v>
      </c>
      <c r="B80" s="8">
        <v>-238</v>
      </c>
      <c r="C80" s="45">
        <v>-1800</v>
      </c>
      <c r="E80" s="51"/>
      <c r="F80" s="8">
        <v>-132</v>
      </c>
      <c r="G80" s="45">
        <v>-3214</v>
      </c>
      <c r="I80" s="8">
        <v>-3484</v>
      </c>
      <c r="J80" s="14">
        <v>5903</v>
      </c>
    </row>
    <row r="81" spans="1:10" x14ac:dyDescent="0.3">
      <c r="A81" s="19" t="s">
        <v>17</v>
      </c>
      <c r="B81" s="8">
        <v>-219</v>
      </c>
      <c r="C81" s="45">
        <v>-2900</v>
      </c>
      <c r="E81" s="51"/>
      <c r="F81" s="8">
        <v>-77</v>
      </c>
      <c r="G81" s="45">
        <v>-1685</v>
      </c>
      <c r="I81" s="8">
        <v>-9037</v>
      </c>
      <c r="J81" s="15">
        <v>630</v>
      </c>
    </row>
    <row r="82" spans="1:10" x14ac:dyDescent="0.3">
      <c r="A82" s="21" t="s">
        <v>17</v>
      </c>
      <c r="B82" s="12"/>
      <c r="C82" s="46"/>
      <c r="E82" s="51"/>
      <c r="F82" s="12"/>
      <c r="G82" s="46"/>
      <c r="I82" s="12">
        <v>0</v>
      </c>
      <c r="J82" s="16"/>
    </row>
    <row r="83" spans="1:10" x14ac:dyDescent="0.3">
      <c r="A83" s="19" t="s">
        <v>18</v>
      </c>
      <c r="B83" s="8">
        <v>0</v>
      </c>
      <c r="C83" s="44">
        <v>0</v>
      </c>
      <c r="E83" s="51"/>
      <c r="F83" s="8"/>
      <c r="G83" s="44"/>
      <c r="I83" s="8">
        <v>0</v>
      </c>
      <c r="J83" s="8"/>
    </row>
    <row r="84" spans="1:10" x14ac:dyDescent="0.3">
      <c r="A84" s="19" t="s">
        <v>18</v>
      </c>
      <c r="B84" s="8">
        <v>0</v>
      </c>
      <c r="C84" s="44">
        <v>0</v>
      </c>
      <c r="E84" s="51"/>
      <c r="F84" s="8"/>
      <c r="G84" s="44"/>
      <c r="I84" s="8">
        <v>0</v>
      </c>
      <c r="J84" s="8"/>
    </row>
    <row r="85" spans="1:10" x14ac:dyDescent="0.3">
      <c r="A85" s="19" t="s">
        <v>18</v>
      </c>
      <c r="B85" s="8">
        <v>-183.00399999999999</v>
      </c>
      <c r="C85" s="45">
        <v>11.703999999999999</v>
      </c>
      <c r="E85" s="51"/>
      <c r="F85" s="8">
        <v>-173.35300000000001</v>
      </c>
      <c r="G85" s="45">
        <v>83.194999999999993</v>
      </c>
      <c r="I85" s="8">
        <v>-226.24699999999999</v>
      </c>
      <c r="J85" s="14">
        <v>-42.267000000000003</v>
      </c>
    </row>
    <row r="86" spans="1:10" x14ac:dyDescent="0.3">
      <c r="A86" s="19" t="s">
        <v>18</v>
      </c>
      <c r="B86" s="8">
        <v>-198.32599999999999</v>
      </c>
      <c r="C86" s="45">
        <v>-9.8640000000000008</v>
      </c>
      <c r="E86" s="51"/>
      <c r="F86" s="8">
        <v>-183.084</v>
      </c>
      <c r="G86" s="45">
        <v>-269.62700000000001</v>
      </c>
      <c r="I86" s="8">
        <v>-407.42099999999994</v>
      </c>
      <c r="J86" s="14">
        <v>645.995</v>
      </c>
    </row>
    <row r="87" spans="1:10" x14ac:dyDescent="0.3">
      <c r="A87" s="19" t="s">
        <v>18</v>
      </c>
      <c r="B87" s="8">
        <v>-194.96600000000001</v>
      </c>
      <c r="C87" s="45">
        <v>-6.9480000000000004</v>
      </c>
      <c r="E87" s="51"/>
      <c r="F87" s="8">
        <v>-181.60400000000001</v>
      </c>
      <c r="G87" s="45">
        <v>-188.27799999999999</v>
      </c>
      <c r="I87" s="8">
        <v>125.28599999999972</v>
      </c>
      <c r="J87" s="14">
        <v>881.91399999999999</v>
      </c>
    </row>
    <row r="88" spans="1:10" x14ac:dyDescent="0.3">
      <c r="A88" s="20" t="s">
        <v>18</v>
      </c>
      <c r="B88" s="10">
        <v>-215</v>
      </c>
      <c r="C88" s="45">
        <v>-4.2590000000000003</v>
      </c>
      <c r="E88" s="51"/>
      <c r="F88" s="10">
        <v>-204</v>
      </c>
      <c r="G88" s="45">
        <v>-288</v>
      </c>
      <c r="I88" s="8">
        <v>266</v>
      </c>
      <c r="J88" s="14">
        <v>243</v>
      </c>
    </row>
    <row r="89" spans="1:10" x14ac:dyDescent="0.3">
      <c r="A89" s="19" t="s">
        <v>18</v>
      </c>
      <c r="B89" s="8">
        <v>-194</v>
      </c>
      <c r="C89" s="45">
        <v>-10.362</v>
      </c>
      <c r="E89" s="51"/>
      <c r="F89" s="8">
        <v>-184</v>
      </c>
      <c r="G89" s="45">
        <v>213</v>
      </c>
      <c r="I89" s="8">
        <v>-1406</v>
      </c>
      <c r="J89" s="14">
        <v>-799</v>
      </c>
    </row>
    <row r="90" spans="1:10" x14ac:dyDescent="0.3">
      <c r="A90" s="19" t="s">
        <v>18</v>
      </c>
      <c r="B90" s="8">
        <v>-188</v>
      </c>
      <c r="C90" s="45">
        <v>-4</v>
      </c>
      <c r="E90" s="51"/>
      <c r="F90" s="8">
        <v>-184</v>
      </c>
      <c r="G90" s="45">
        <v>-556</v>
      </c>
      <c r="I90" s="8">
        <v>656</v>
      </c>
      <c r="J90" s="15">
        <v>930</v>
      </c>
    </row>
    <row r="91" spans="1:10" x14ac:dyDescent="0.3">
      <c r="A91" s="21" t="s">
        <v>18</v>
      </c>
      <c r="B91" s="12"/>
      <c r="C91" s="46"/>
      <c r="E91" s="51"/>
      <c r="F91" s="12">
        <v>-187</v>
      </c>
      <c r="G91" s="46">
        <v>155</v>
      </c>
      <c r="I91" s="12">
        <v>74</v>
      </c>
      <c r="J91" s="16">
        <v>-273</v>
      </c>
    </row>
    <row r="92" spans="1:10" x14ac:dyDescent="0.3">
      <c r="A92" s="19" t="s">
        <v>22</v>
      </c>
      <c r="B92" s="8">
        <v>0</v>
      </c>
      <c r="C92" s="44">
        <v>0</v>
      </c>
      <c r="E92" s="51"/>
      <c r="F92" s="8"/>
      <c r="G92" s="44"/>
      <c r="I92" s="8">
        <v>0</v>
      </c>
      <c r="J92" s="8"/>
    </row>
    <row r="93" spans="1:10" x14ac:dyDescent="0.3">
      <c r="A93" s="19" t="s">
        <v>22</v>
      </c>
      <c r="B93" s="8">
        <v>0</v>
      </c>
      <c r="C93" s="44">
        <v>0</v>
      </c>
      <c r="E93" s="51"/>
      <c r="F93" s="8"/>
      <c r="G93" s="44"/>
      <c r="I93" s="8">
        <v>0</v>
      </c>
      <c r="J93" s="8"/>
    </row>
    <row r="94" spans="1:10" x14ac:dyDescent="0.3">
      <c r="A94" s="19" t="s">
        <v>22</v>
      </c>
      <c r="B94" s="8">
        <v>-0.17</v>
      </c>
      <c r="C94" s="45">
        <v>-108.685</v>
      </c>
      <c r="E94" s="51"/>
      <c r="F94" s="8">
        <v>-75.260999999999996</v>
      </c>
      <c r="G94" s="45">
        <v>-45.792999999999999</v>
      </c>
      <c r="I94" s="8">
        <v>-116.276</v>
      </c>
      <c r="J94" s="14">
        <v>-53.87</v>
      </c>
    </row>
    <row r="95" spans="1:10" x14ac:dyDescent="0.3">
      <c r="A95" s="19" t="s">
        <v>22</v>
      </c>
      <c r="B95" s="8">
        <v>1.359</v>
      </c>
      <c r="C95" s="45">
        <v>-116.76600000000001</v>
      </c>
      <c r="E95" s="51"/>
      <c r="F95" s="8">
        <v>-90.665000000000006</v>
      </c>
      <c r="G95" s="45">
        <v>-50.91</v>
      </c>
      <c r="I95" s="8">
        <v>-88.344999999999999</v>
      </c>
      <c r="J95" s="14">
        <v>-239.256</v>
      </c>
    </row>
    <row r="96" spans="1:10" x14ac:dyDescent="0.3">
      <c r="A96" s="19" t="s">
        <v>22</v>
      </c>
      <c r="B96" s="8">
        <v>-0.67500000000000004</v>
      </c>
      <c r="C96" s="45">
        <v>-133.10300000000001</v>
      </c>
      <c r="E96" s="51"/>
      <c r="F96" s="10">
        <v>-125.05200000000001</v>
      </c>
      <c r="G96" s="45">
        <v>-35.557000000000002</v>
      </c>
      <c r="I96" s="8">
        <v>-379.9104000000001</v>
      </c>
      <c r="J96" s="14">
        <v>58.026000000000003</v>
      </c>
    </row>
    <row r="97" spans="1:10" x14ac:dyDescent="0.3">
      <c r="A97" s="20" t="s">
        <v>22</v>
      </c>
      <c r="B97" s="10">
        <v>-0.38600000000000001</v>
      </c>
      <c r="C97" s="45">
        <v>-153.249</v>
      </c>
      <c r="E97" s="51"/>
      <c r="F97" s="10">
        <v>-168.798</v>
      </c>
      <c r="G97" s="45">
        <v>-12.054</v>
      </c>
      <c r="I97" s="8">
        <v>-261.93400000000003</v>
      </c>
      <c r="J97" s="14">
        <v>13.002000000000001</v>
      </c>
    </row>
    <row r="98" spans="1:10" x14ac:dyDescent="0.3">
      <c r="A98" s="19" t="s">
        <v>22</v>
      </c>
      <c r="B98" s="8">
        <v>0.34699999999999998</v>
      </c>
      <c r="C98" s="45">
        <v>-159.137</v>
      </c>
      <c r="E98" s="51"/>
      <c r="F98" s="10">
        <v>-176.55699999999999</v>
      </c>
      <c r="G98" s="45">
        <v>-33.856999999999999</v>
      </c>
      <c r="I98" s="8">
        <v>-157.10799999999975</v>
      </c>
      <c r="J98" s="14">
        <v>115.72199999999999</v>
      </c>
    </row>
    <row r="99" spans="1:10" x14ac:dyDescent="0.3">
      <c r="A99" s="19" t="s">
        <v>22</v>
      </c>
      <c r="B99" s="8">
        <v>0.156</v>
      </c>
      <c r="C99" s="45">
        <v>-165.53</v>
      </c>
      <c r="E99" s="51"/>
      <c r="F99" s="8">
        <v>-168.977</v>
      </c>
      <c r="G99" s="45">
        <v>-396.50299999999999</v>
      </c>
      <c r="I99" s="8">
        <v>597.053</v>
      </c>
      <c r="J99" s="15">
        <v>634.38199999999995</v>
      </c>
    </row>
    <row r="100" spans="1:10" x14ac:dyDescent="0.3">
      <c r="A100" s="21" t="s">
        <v>22</v>
      </c>
      <c r="B100" s="12"/>
      <c r="C100" s="46"/>
      <c r="E100" s="51"/>
      <c r="F100" s="12">
        <v>-166.43899999999999</v>
      </c>
      <c r="G100" s="46">
        <v>338.67700000000002</v>
      </c>
      <c r="I100" s="12">
        <v>-662.60200000000009</v>
      </c>
      <c r="J100" s="16">
        <v>-713.68499999999995</v>
      </c>
    </row>
    <row r="101" spans="1:10" x14ac:dyDescent="0.3">
      <c r="A101" s="19" t="s">
        <v>19</v>
      </c>
      <c r="B101" s="8">
        <v>0</v>
      </c>
      <c r="C101" s="44">
        <v>0</v>
      </c>
      <c r="E101" s="51"/>
      <c r="F101" s="8"/>
      <c r="G101" s="44"/>
      <c r="I101" s="8">
        <v>0</v>
      </c>
      <c r="J101" s="8"/>
    </row>
    <row r="102" spans="1:10" x14ac:dyDescent="0.3">
      <c r="A102" s="19" t="s">
        <v>19</v>
      </c>
      <c r="B102" s="8">
        <v>0</v>
      </c>
      <c r="C102" s="44">
        <v>0</v>
      </c>
      <c r="E102" s="51"/>
      <c r="F102" s="8"/>
      <c r="G102" s="44"/>
      <c r="I102" s="8">
        <v>0</v>
      </c>
      <c r="J102" s="8"/>
    </row>
    <row r="103" spans="1:10" x14ac:dyDescent="0.3">
      <c r="A103" s="19" t="s">
        <v>19</v>
      </c>
      <c r="B103" s="8">
        <v>-16.452999999999999</v>
      </c>
      <c r="C103" s="45">
        <v>64.968999999999994</v>
      </c>
      <c r="E103" s="51"/>
      <c r="F103" s="8">
        <v>-18.638000000000002</v>
      </c>
      <c r="G103" s="45">
        <v>16.363</v>
      </c>
      <c r="I103" s="8">
        <v>-985.59099999999989</v>
      </c>
      <c r="J103" s="14">
        <v>-35.792000000000002</v>
      </c>
    </row>
    <row r="104" spans="1:10" x14ac:dyDescent="0.3">
      <c r="A104" s="19" t="s">
        <v>19</v>
      </c>
      <c r="B104" s="8">
        <v>-24.048999999999999</v>
      </c>
      <c r="C104" s="45">
        <v>-11.939</v>
      </c>
      <c r="E104" s="51"/>
      <c r="F104" s="8">
        <v>-26.163</v>
      </c>
      <c r="G104" s="45">
        <v>-391.65899999999999</v>
      </c>
      <c r="I104" s="8">
        <v>-455.32199999999978</v>
      </c>
      <c r="J104" s="14">
        <v>603.83299999999997</v>
      </c>
    </row>
    <row r="105" spans="1:10" x14ac:dyDescent="0.3">
      <c r="A105" s="19" t="s">
        <v>19</v>
      </c>
      <c r="B105" s="8">
        <v>-19.158999999999999</v>
      </c>
      <c r="C105" s="45">
        <v>-4.1980000000000004</v>
      </c>
      <c r="E105" s="51"/>
      <c r="F105" s="8">
        <v>-24.074999999999999</v>
      </c>
      <c r="G105" s="45">
        <v>-413.221</v>
      </c>
      <c r="I105" s="8">
        <v>-519.23900000000003</v>
      </c>
      <c r="J105" s="14">
        <v>637.76900000000001</v>
      </c>
    </row>
    <row r="106" spans="1:10" x14ac:dyDescent="0.3">
      <c r="A106" s="20" t="s">
        <v>19</v>
      </c>
      <c r="B106" s="10">
        <v>-97</v>
      </c>
      <c r="C106" s="45">
        <v>-0.81799999999999995</v>
      </c>
      <c r="E106" s="51"/>
      <c r="F106" s="10">
        <v>-35</v>
      </c>
      <c r="G106" s="45">
        <v>443</v>
      </c>
      <c r="I106" s="8">
        <v>-2318</v>
      </c>
      <c r="J106" s="14">
        <v>-707</v>
      </c>
    </row>
    <row r="107" spans="1:10" x14ac:dyDescent="0.3">
      <c r="A107" s="19" t="s">
        <v>19</v>
      </c>
      <c r="B107" s="8">
        <v>-104</v>
      </c>
      <c r="C107" s="45">
        <v>-18.786999999999999</v>
      </c>
      <c r="E107" s="51"/>
      <c r="F107" s="10">
        <v>-42</v>
      </c>
      <c r="G107" s="45">
        <v>-486</v>
      </c>
      <c r="I107" s="8">
        <v>-533</v>
      </c>
      <c r="J107" s="14">
        <v>704</v>
      </c>
    </row>
    <row r="108" spans="1:10" x14ac:dyDescent="0.3">
      <c r="A108" s="19" t="s">
        <v>19</v>
      </c>
      <c r="B108" s="8">
        <v>-114</v>
      </c>
      <c r="C108" s="45">
        <v>-28</v>
      </c>
      <c r="E108" s="51"/>
      <c r="F108" s="8">
        <v>-59</v>
      </c>
      <c r="G108" s="45">
        <v>-525</v>
      </c>
      <c r="I108" s="8">
        <v>-689</v>
      </c>
      <c r="J108" s="15">
        <v>924</v>
      </c>
    </row>
    <row r="109" spans="1:10" x14ac:dyDescent="0.3">
      <c r="A109" s="21" t="s">
        <v>19</v>
      </c>
      <c r="B109" s="12"/>
      <c r="C109" s="46"/>
      <c r="E109" s="51"/>
      <c r="F109" s="12"/>
      <c r="G109" s="46"/>
      <c r="I109" s="12">
        <v>0</v>
      </c>
      <c r="J109" s="16"/>
    </row>
    <row r="110" spans="1:10" x14ac:dyDescent="0.3">
      <c r="A110" s="19" t="s">
        <v>20</v>
      </c>
      <c r="B110" s="8">
        <v>0</v>
      </c>
      <c r="C110" s="44">
        <v>0</v>
      </c>
      <c r="E110" s="51"/>
      <c r="F110" s="8"/>
      <c r="G110" s="44"/>
      <c r="I110" s="8">
        <v>0</v>
      </c>
      <c r="J110" s="8"/>
    </row>
    <row r="111" spans="1:10" x14ac:dyDescent="0.3">
      <c r="A111" s="19" t="s">
        <v>20</v>
      </c>
      <c r="B111" s="8">
        <v>0</v>
      </c>
      <c r="C111" s="44">
        <v>0</v>
      </c>
      <c r="E111" s="51"/>
      <c r="F111" s="8"/>
      <c r="G111" s="44"/>
      <c r="I111" s="8">
        <v>0</v>
      </c>
      <c r="J111" s="8"/>
    </row>
    <row r="112" spans="1:10" x14ac:dyDescent="0.3">
      <c r="A112" s="19" t="s">
        <v>20</v>
      </c>
      <c r="B112" s="8">
        <v>-11.403</v>
      </c>
      <c r="C112" s="45">
        <v>-37.167000000000002</v>
      </c>
      <c r="E112" s="51"/>
      <c r="F112" s="8">
        <v>-37.167000000000002</v>
      </c>
      <c r="G112" s="45">
        <v>245.136</v>
      </c>
      <c r="I112" s="8">
        <v>-1036.9999999999998</v>
      </c>
      <c r="J112" s="14">
        <v>-451.053</v>
      </c>
    </row>
    <row r="113" spans="1:10" x14ac:dyDescent="0.3">
      <c r="A113" s="19" t="s">
        <v>20</v>
      </c>
      <c r="B113" s="8">
        <v>-2.5369999999999999</v>
      </c>
      <c r="C113" s="45">
        <v>-70.231999999999999</v>
      </c>
      <c r="E113" s="51"/>
      <c r="F113" s="8">
        <v>-49.031999999999996</v>
      </c>
      <c r="G113" s="45">
        <v>-258.61500000000001</v>
      </c>
      <c r="I113" s="8">
        <v>-2.6999999999986812E-2</v>
      </c>
      <c r="J113" s="14">
        <v>464.459</v>
      </c>
    </row>
    <row r="114" spans="1:10" x14ac:dyDescent="0.3">
      <c r="A114" s="19" t="s">
        <v>20</v>
      </c>
      <c r="B114" s="8">
        <v>-7.26</v>
      </c>
      <c r="C114" s="45">
        <v>-88.963999999999999</v>
      </c>
      <c r="E114" s="51"/>
      <c r="F114" s="8">
        <v>-63.155999999999999</v>
      </c>
      <c r="G114" s="45">
        <v>-257.67</v>
      </c>
      <c r="I114" s="8">
        <v>0</v>
      </c>
      <c r="J114" s="14">
        <v>453.202</v>
      </c>
    </row>
    <row r="115" spans="1:10" x14ac:dyDescent="0.3">
      <c r="A115" s="20" t="s">
        <v>20</v>
      </c>
      <c r="B115" s="10">
        <v>-4.3789999999999996</v>
      </c>
      <c r="C115" s="45">
        <v>-101.23699999999999</v>
      </c>
      <c r="E115" s="51"/>
      <c r="F115" s="10">
        <v>-88.18</v>
      </c>
      <c r="G115" s="45">
        <v>700.21299999999997</v>
      </c>
      <c r="I115" s="8">
        <v>-2972.4639999999999</v>
      </c>
      <c r="J115" s="14">
        <v>-2176.8980000000001</v>
      </c>
    </row>
    <row r="116" spans="1:10" x14ac:dyDescent="0.3">
      <c r="A116" s="19" t="s">
        <v>20</v>
      </c>
      <c r="B116" s="8">
        <v>-13.843</v>
      </c>
      <c r="C116" s="45">
        <v>-99.542000000000002</v>
      </c>
      <c r="E116" s="51"/>
      <c r="F116" s="8">
        <v>-101.486</v>
      </c>
      <c r="G116" s="45">
        <v>3.6160000000000001</v>
      </c>
      <c r="I116" s="8">
        <v>0</v>
      </c>
      <c r="J116" s="14">
        <v>237.83799999999999</v>
      </c>
    </row>
    <row r="117" spans="1:10" x14ac:dyDescent="0.3">
      <c r="A117" s="19" t="s">
        <v>20</v>
      </c>
      <c r="B117" s="8">
        <v>-1.752</v>
      </c>
      <c r="C117" s="45">
        <v>-108.889</v>
      </c>
      <c r="E117" s="51"/>
      <c r="F117" s="8">
        <v>-126.157</v>
      </c>
      <c r="G117" s="45">
        <v>5.8239999999999998</v>
      </c>
      <c r="I117" s="8">
        <v>-1.9999999999998863</v>
      </c>
      <c r="J117" s="15">
        <v>542.851</v>
      </c>
    </row>
    <row r="118" spans="1:10" ht="15" thickBot="1" x14ac:dyDescent="0.35">
      <c r="A118" s="48" t="s">
        <v>20</v>
      </c>
      <c r="B118" s="49"/>
      <c r="C118" s="50"/>
      <c r="E118" s="52"/>
      <c r="F118" s="49"/>
      <c r="G118" s="50"/>
      <c r="I118" s="30">
        <v>0</v>
      </c>
      <c r="J118" s="30"/>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9"/>
  <sheetViews>
    <sheetView workbookViewId="0">
      <selection activeCell="S21" sqref="S21"/>
    </sheetView>
  </sheetViews>
  <sheetFormatPr defaultRowHeight="14.4" x14ac:dyDescent="0.3"/>
  <cols>
    <col min="7" max="7" width="11.5546875" bestFit="1" customWidth="1"/>
    <col min="8" max="8" width="10.5546875" bestFit="1" customWidth="1"/>
    <col min="9" max="9" width="10.33203125" bestFit="1" customWidth="1"/>
    <col min="10" max="10" width="10.6640625" bestFit="1" customWidth="1"/>
    <col min="11" max="12" width="10.5546875" bestFit="1" customWidth="1"/>
  </cols>
  <sheetData>
    <row r="1" spans="1:15" x14ac:dyDescent="0.3">
      <c r="A1" t="s">
        <v>5</v>
      </c>
      <c r="B1" t="s">
        <v>24</v>
      </c>
      <c r="C1" t="s">
        <v>6</v>
      </c>
      <c r="D1" t="s">
        <v>7</v>
      </c>
      <c r="G1" t="s">
        <v>5</v>
      </c>
      <c r="H1" t="s">
        <v>87</v>
      </c>
      <c r="I1" t="s">
        <v>6</v>
      </c>
      <c r="J1" t="s">
        <v>88</v>
      </c>
      <c r="K1" t="s">
        <v>89</v>
      </c>
      <c r="L1" t="s">
        <v>90</v>
      </c>
      <c r="M1" t="s">
        <v>91</v>
      </c>
      <c r="N1" t="s">
        <v>92</v>
      </c>
      <c r="O1" t="s">
        <v>97</v>
      </c>
    </row>
    <row r="4" spans="1:15" x14ac:dyDescent="0.3">
      <c r="A4">
        <v>3269</v>
      </c>
      <c r="B4">
        <v>-50</v>
      </c>
      <c r="C4">
        <v>-773</v>
      </c>
      <c r="D4">
        <v>-194</v>
      </c>
      <c r="F4">
        <v>2009</v>
      </c>
      <c r="G4" s="6">
        <f>(A4+A13+A22+A31+A40+A49+A58+A67+A76+A85+A94+A103)</f>
        <v>76675.016999999993</v>
      </c>
      <c r="H4" s="6">
        <f>(B4+B13+B22+B31+B40+B49+B58+B67+B76+B85+B94+B103)</f>
        <v>50706.119999999995</v>
      </c>
      <c r="I4" s="6">
        <f>(C4+C13+C22+C31+C40+C49+C58+C67+C76+C85+C94+C103)</f>
        <v>-5308.2031000000006</v>
      </c>
      <c r="J4" s="6">
        <f>(D4+D13+D22+D31+D40+D49+D58+D67+D76+D85+D94+D103)</f>
        <v>-4121.2610000000004</v>
      </c>
      <c r="K4" s="25">
        <f>H4+J4</f>
        <v>46584.858999999997</v>
      </c>
      <c r="L4" s="25">
        <f>K4+I4</f>
        <v>41276.655899999998</v>
      </c>
      <c r="N4" s="80">
        <f>ABS(I4)/K4</f>
        <v>0.113946960749629</v>
      </c>
      <c r="O4" s="80">
        <f>ABS(I4/H4)</f>
        <v>0.10468564938512355</v>
      </c>
    </row>
    <row r="5" spans="1:15" x14ac:dyDescent="0.3">
      <c r="A5">
        <v>5605</v>
      </c>
      <c r="B5">
        <v>2120</v>
      </c>
      <c r="C5">
        <v>-871</v>
      </c>
      <c r="D5">
        <v>-307</v>
      </c>
      <c r="F5">
        <v>2010</v>
      </c>
      <c r="G5" s="6">
        <f t="shared" ref="G5:G10" si="0">(A5+A14+A23+A32+A41+A50+A59+A68+A77+A86+A95+A104)</f>
        <v>95169.579999999987</v>
      </c>
      <c r="H5" s="6">
        <f t="shared" ref="H5:J10" si="1">(B5+B14+B23+B32+B41+B50+B59+B68+B77+B86+B95+B104)</f>
        <v>69198.088999999993</v>
      </c>
      <c r="I5" s="6">
        <f t="shared" si="1"/>
        <v>-5331.7395999999999</v>
      </c>
      <c r="J5" s="6">
        <f t="shared" si="1"/>
        <v>-8029.9560000000001</v>
      </c>
      <c r="K5" s="25">
        <f t="shared" ref="K5:K10" si="2">H5+J5</f>
        <v>61168.132999999994</v>
      </c>
      <c r="L5" s="25">
        <f t="shared" ref="L5:L10" si="3">K5+I5</f>
        <v>55836.393399999994</v>
      </c>
      <c r="M5" s="80">
        <f>G5/G4-1</f>
        <v>0.2412071587802842</v>
      </c>
      <c r="N5" s="80">
        <f t="shared" ref="N5:N10" si="4">ABS(I5)/K5</f>
        <v>8.7165315312141375E-2</v>
      </c>
      <c r="O5" s="80">
        <f>ABS(I5)/H5</f>
        <v>7.7050387908833728E-2</v>
      </c>
    </row>
    <row r="6" spans="1:15" x14ac:dyDescent="0.3">
      <c r="A6">
        <v>7615</v>
      </c>
      <c r="B6">
        <v>4031</v>
      </c>
      <c r="C6">
        <v>-986</v>
      </c>
      <c r="D6">
        <v>-262</v>
      </c>
      <c r="F6">
        <v>2011</v>
      </c>
      <c r="G6" s="6">
        <f t="shared" si="0"/>
        <v>108771.28339999999</v>
      </c>
      <c r="H6" s="6">
        <f t="shared" si="1"/>
        <v>81117.595399999991</v>
      </c>
      <c r="I6" s="6">
        <f t="shared" si="1"/>
        <v>-5468.0036</v>
      </c>
      <c r="J6" s="6">
        <f t="shared" si="1"/>
        <v>-14516.397000000001</v>
      </c>
      <c r="K6" s="25">
        <f t="shared" si="2"/>
        <v>66601.198399999994</v>
      </c>
      <c r="L6" s="25">
        <f t="shared" si="3"/>
        <v>61133.194799999997</v>
      </c>
      <c r="M6" s="80">
        <f t="shared" ref="M6:M10" si="5">G6/G5-1</f>
        <v>0.14292070428386894</v>
      </c>
      <c r="N6" s="80">
        <f t="shared" si="4"/>
        <v>8.2100678837034272E-2</v>
      </c>
      <c r="O6" s="80">
        <f>ABS(I6)/H6</f>
        <v>6.7408354168249918E-2</v>
      </c>
    </row>
    <row r="7" spans="1:15" x14ac:dyDescent="0.3">
      <c r="A7">
        <v>6243</v>
      </c>
      <c r="B7">
        <v>2533</v>
      </c>
      <c r="C7">
        <v>-963</v>
      </c>
      <c r="D7">
        <v>300</v>
      </c>
      <c r="F7">
        <v>2012</v>
      </c>
      <c r="G7" s="6">
        <f t="shared" si="0"/>
        <v>95501.568000000014</v>
      </c>
      <c r="H7" s="6">
        <f t="shared" si="1"/>
        <v>65374.420999999995</v>
      </c>
      <c r="I7" s="6">
        <f t="shared" si="1"/>
        <v>-5508.5971</v>
      </c>
      <c r="J7" s="6">
        <f t="shared" si="1"/>
        <v>-13097.97</v>
      </c>
      <c r="K7" s="25">
        <f t="shared" si="2"/>
        <v>52276.450999999994</v>
      </c>
      <c r="L7" s="25">
        <f t="shared" si="3"/>
        <v>46767.853899999995</v>
      </c>
      <c r="M7" s="80">
        <f t="shared" si="5"/>
        <v>-0.12199649563020576</v>
      </c>
      <c r="N7" s="80">
        <f t="shared" si="4"/>
        <v>0.10537435106296716</v>
      </c>
      <c r="O7" s="80">
        <f>ABS(I7)/H7</f>
        <v>8.4262269795093103E-2</v>
      </c>
    </row>
    <row r="8" spans="1:15" x14ac:dyDescent="0.3">
      <c r="A8">
        <v>8395</v>
      </c>
      <c r="B8">
        <v>4774</v>
      </c>
      <c r="C8">
        <v>-949</v>
      </c>
      <c r="D8">
        <v>-169</v>
      </c>
      <c r="F8">
        <v>2013</v>
      </c>
      <c r="G8" s="6">
        <f t="shared" si="0"/>
        <v>99944.288</v>
      </c>
      <c r="H8" s="6">
        <f t="shared" si="1"/>
        <v>68262.828999999998</v>
      </c>
      <c r="I8" s="6">
        <f t="shared" si="1"/>
        <v>-5910.4501</v>
      </c>
      <c r="J8" s="6">
        <f t="shared" si="1"/>
        <v>-8856.8220000000001</v>
      </c>
      <c r="K8" s="25">
        <f t="shared" si="2"/>
        <v>59406.006999999998</v>
      </c>
      <c r="L8" s="25">
        <f t="shared" si="3"/>
        <v>53495.556899999996</v>
      </c>
      <c r="M8" s="80">
        <f t="shared" si="5"/>
        <v>4.6519864469659611E-2</v>
      </c>
      <c r="N8" s="80">
        <f t="shared" si="4"/>
        <v>9.9492465467339017E-2</v>
      </c>
      <c r="O8" s="80">
        <f>ABS(I8)/H8</f>
        <v>8.658372626191628E-2</v>
      </c>
    </row>
    <row r="9" spans="1:15" x14ac:dyDescent="0.3">
      <c r="A9">
        <v>8752</v>
      </c>
      <c r="B9">
        <v>4571</v>
      </c>
      <c r="C9">
        <v>-973</v>
      </c>
      <c r="D9">
        <v>-956</v>
      </c>
      <c r="F9">
        <v>2014</v>
      </c>
      <c r="G9" s="6">
        <f t="shared" si="0"/>
        <v>99282.54</v>
      </c>
      <c r="H9" s="6">
        <f t="shared" si="1"/>
        <v>64835.027999999998</v>
      </c>
      <c r="I9" s="6">
        <f t="shared" si="1"/>
        <v>-5746.9102666666658</v>
      </c>
      <c r="J9" s="6">
        <f t="shared" si="1"/>
        <v>-10819.614</v>
      </c>
      <c r="K9" s="25">
        <f t="shared" si="2"/>
        <v>54015.413999999997</v>
      </c>
      <c r="L9" s="25">
        <f t="shared" si="3"/>
        <v>48268.503733333331</v>
      </c>
      <c r="M9" s="80">
        <f t="shared" si="5"/>
        <v>-6.6211687855538548E-3</v>
      </c>
      <c r="N9" s="80">
        <f t="shared" si="4"/>
        <v>0.10639389465137981</v>
      </c>
      <c r="O9" s="80">
        <f>ABS(I9/H9)</f>
        <v>8.8638972542229272E-2</v>
      </c>
    </row>
    <row r="10" spans="1:15" x14ac:dyDescent="0.3">
      <c r="A10">
        <v>1843</v>
      </c>
      <c r="B10">
        <v>-2341</v>
      </c>
      <c r="C10">
        <v>-989</v>
      </c>
      <c r="D10">
        <v>-26</v>
      </c>
      <c r="F10">
        <v>2015</v>
      </c>
      <c r="G10" s="6">
        <f t="shared" si="0"/>
        <v>39089.972000000002</v>
      </c>
      <c r="H10" s="6">
        <f t="shared" si="1"/>
        <v>5897.1630000000005</v>
      </c>
      <c r="I10" s="6">
        <f t="shared" si="1"/>
        <v>-5915.9696000000004</v>
      </c>
      <c r="J10" s="6">
        <f t="shared" si="1"/>
        <v>-1847.7579999999998</v>
      </c>
      <c r="K10" s="25">
        <f t="shared" si="2"/>
        <v>4049.4050000000007</v>
      </c>
      <c r="L10" s="25">
        <f t="shared" si="3"/>
        <v>-1866.5645999999997</v>
      </c>
      <c r="M10" s="80">
        <f t="shared" si="5"/>
        <v>-0.60627546394360976</v>
      </c>
      <c r="N10" s="80">
        <f t="shared" si="4"/>
        <v>1.4609478676496916</v>
      </c>
      <c r="O10" s="80">
        <f>ABS(I10/H10)</f>
        <v>1.0031890927891938</v>
      </c>
    </row>
    <row r="11" spans="1:15" x14ac:dyDescent="0.3">
      <c r="A11">
        <v>0</v>
      </c>
      <c r="B11">
        <v>0</v>
      </c>
      <c r="C11">
        <v>0</v>
      </c>
      <c r="D11">
        <v>0</v>
      </c>
    </row>
    <row r="12" spans="1:15" x14ac:dyDescent="0.3">
      <c r="A12">
        <v>0</v>
      </c>
      <c r="B12">
        <v>0</v>
      </c>
      <c r="C12">
        <v>0</v>
      </c>
      <c r="D12">
        <v>0</v>
      </c>
    </row>
    <row r="13" spans="1:15" x14ac:dyDescent="0.3">
      <c r="A13">
        <v>5845</v>
      </c>
      <c r="B13">
        <v>3450</v>
      </c>
      <c r="C13">
        <v>-309</v>
      </c>
      <c r="D13">
        <v>-686</v>
      </c>
    </row>
    <row r="14" spans="1:15" x14ac:dyDescent="0.3">
      <c r="A14">
        <v>8903</v>
      </c>
      <c r="B14">
        <v>5820</v>
      </c>
      <c r="C14">
        <v>-345</v>
      </c>
      <c r="D14">
        <v>-1170</v>
      </c>
    </row>
    <row r="15" spans="1:15" x14ac:dyDescent="0.3">
      <c r="A15">
        <v>12578</v>
      </c>
      <c r="B15">
        <v>8483</v>
      </c>
      <c r="C15">
        <v>-433</v>
      </c>
      <c r="D15">
        <v>-1686</v>
      </c>
    </row>
    <row r="16" spans="1:15" x14ac:dyDescent="0.3">
      <c r="A16">
        <v>12152</v>
      </c>
      <c r="B16">
        <v>7559</v>
      </c>
      <c r="C16">
        <v>-501</v>
      </c>
      <c r="D16">
        <v>-2590</v>
      </c>
    </row>
    <row r="17" spans="1:4" x14ac:dyDescent="0.3">
      <c r="A17">
        <v>10567</v>
      </c>
      <c r="B17">
        <v>6033</v>
      </c>
      <c r="C17">
        <v>-560</v>
      </c>
      <c r="D17">
        <v>-1766</v>
      </c>
    </row>
    <row r="18" spans="1:4" x14ac:dyDescent="0.3">
      <c r="A18">
        <v>9051</v>
      </c>
      <c r="B18">
        <v>4663</v>
      </c>
      <c r="C18">
        <v>-499</v>
      </c>
      <c r="D18">
        <v>-1357</v>
      </c>
    </row>
    <row r="19" spans="1:4" x14ac:dyDescent="0.3">
      <c r="A19">
        <v>3682</v>
      </c>
      <c r="B19">
        <v>151</v>
      </c>
      <c r="C19">
        <v>-486</v>
      </c>
      <c r="D19">
        <v>-573</v>
      </c>
    </row>
    <row r="20" spans="1:4" x14ac:dyDescent="0.3">
      <c r="A20">
        <v>0</v>
      </c>
      <c r="B20">
        <v>0</v>
      </c>
      <c r="C20">
        <v>0</v>
      </c>
      <c r="D20">
        <v>0</v>
      </c>
    </row>
    <row r="21" spans="1:4" x14ac:dyDescent="0.3">
      <c r="A21">
        <v>0</v>
      </c>
      <c r="B21">
        <v>0</v>
      </c>
      <c r="C21">
        <v>0</v>
      </c>
      <c r="D21">
        <v>0</v>
      </c>
    </row>
    <row r="22" spans="1:4" x14ac:dyDescent="0.3">
      <c r="A22">
        <v>471.97199999999998</v>
      </c>
      <c r="B22">
        <v>220.71199999999999</v>
      </c>
      <c r="C22">
        <v>-53.241099999999996</v>
      </c>
      <c r="D22">
        <v>-27.08</v>
      </c>
    </row>
    <row r="23" spans="1:4" x14ac:dyDescent="0.3">
      <c r="A23">
        <v>435.1389999999999</v>
      </c>
      <c r="B23">
        <v>108.05599999999987</v>
      </c>
      <c r="C23">
        <v>-57.712600000000002</v>
      </c>
      <c r="D23">
        <v>-1.05</v>
      </c>
    </row>
    <row r="24" spans="1:4" x14ac:dyDescent="0.3">
      <c r="A24">
        <v>449.096</v>
      </c>
      <c r="B24">
        <v>105.95499999999998</v>
      </c>
      <c r="C24">
        <v>-53.671600000000005</v>
      </c>
      <c r="D24">
        <v>-65.352000000000004</v>
      </c>
    </row>
    <row r="25" spans="1:4" x14ac:dyDescent="0.3">
      <c r="A25">
        <v>692.92599999999993</v>
      </c>
      <c r="B25">
        <v>241.52099999999996</v>
      </c>
      <c r="C25">
        <v>-51.094100000000005</v>
      </c>
      <c r="D25">
        <v>-22.501000000000001</v>
      </c>
    </row>
    <row r="26" spans="1:4" x14ac:dyDescent="0.3">
      <c r="A26">
        <v>1160.5189999999998</v>
      </c>
      <c r="B26">
        <v>509.46699999999976</v>
      </c>
      <c r="C26">
        <v>-53.301100000000005</v>
      </c>
      <c r="D26">
        <v>-35.280999999999999</v>
      </c>
    </row>
    <row r="27" spans="1:4" x14ac:dyDescent="0.3">
      <c r="A27">
        <v>1251.3160000000003</v>
      </c>
      <c r="B27">
        <v>618.55600000000027</v>
      </c>
      <c r="C27">
        <v>-63.305266666666668</v>
      </c>
      <c r="D27">
        <v>-77.028999999999996</v>
      </c>
    </row>
    <row r="28" spans="1:4" x14ac:dyDescent="0.3">
      <c r="A28">
        <v>565.1400000000001</v>
      </c>
      <c r="B28">
        <v>-57.070999999999913</v>
      </c>
      <c r="C28">
        <v>-85.296600000000012</v>
      </c>
      <c r="D28">
        <v>-7.55</v>
      </c>
    </row>
    <row r="29" spans="1:4" x14ac:dyDescent="0.3">
      <c r="A29">
        <v>0</v>
      </c>
      <c r="B29">
        <v>0</v>
      </c>
      <c r="C29">
        <v>0</v>
      </c>
      <c r="D29">
        <v>0</v>
      </c>
    </row>
    <row r="30" spans="1:4" x14ac:dyDescent="0.3">
      <c r="A30">
        <v>0</v>
      </c>
      <c r="B30">
        <v>0</v>
      </c>
      <c r="C30">
        <v>0</v>
      </c>
      <c r="D30">
        <v>0</v>
      </c>
    </row>
    <row r="31" spans="1:4" x14ac:dyDescent="0.3">
      <c r="A31">
        <v>6188</v>
      </c>
      <c r="B31">
        <v>4657</v>
      </c>
      <c r="C31">
        <v>-825</v>
      </c>
      <c r="D31">
        <v>-7</v>
      </c>
    </row>
    <row r="32" spans="1:4" x14ac:dyDescent="0.3">
      <c r="A32">
        <v>7655</v>
      </c>
      <c r="B32">
        <v>6137</v>
      </c>
      <c r="C32">
        <v>-779</v>
      </c>
      <c r="D32">
        <v>291</v>
      </c>
    </row>
    <row r="33" spans="1:4" x14ac:dyDescent="0.3">
      <c r="A33">
        <v>4453</v>
      </c>
      <c r="B33">
        <v>2694</v>
      </c>
      <c r="C33">
        <v>-723</v>
      </c>
      <c r="D33">
        <v>25</v>
      </c>
    </row>
    <row r="34" spans="1:4" x14ac:dyDescent="0.3">
      <c r="A34">
        <v>4512</v>
      </c>
      <c r="B34">
        <v>1888</v>
      </c>
      <c r="C34">
        <v>-802</v>
      </c>
      <c r="D34">
        <v>-44</v>
      </c>
    </row>
    <row r="35" spans="1:4" x14ac:dyDescent="0.3">
      <c r="A35">
        <v>5464</v>
      </c>
      <c r="B35">
        <v>2790</v>
      </c>
      <c r="C35">
        <v>-894</v>
      </c>
      <c r="D35">
        <v>-26</v>
      </c>
    </row>
    <row r="36" spans="1:4" x14ac:dyDescent="0.3">
      <c r="A36">
        <v>6522</v>
      </c>
      <c r="B36">
        <v>3766</v>
      </c>
      <c r="C36">
        <v>-768</v>
      </c>
      <c r="D36">
        <v>-10</v>
      </c>
    </row>
    <row r="37" spans="1:4" x14ac:dyDescent="0.3">
      <c r="A37">
        <v>2135</v>
      </c>
      <c r="B37">
        <v>-35</v>
      </c>
      <c r="C37">
        <v>-694</v>
      </c>
      <c r="D37">
        <v>-44</v>
      </c>
    </row>
    <row r="38" spans="1:4" x14ac:dyDescent="0.3">
      <c r="A38">
        <v>0</v>
      </c>
      <c r="B38">
        <v>0</v>
      </c>
      <c r="C38">
        <v>0</v>
      </c>
      <c r="D38">
        <v>0</v>
      </c>
    </row>
    <row r="39" spans="1:4" x14ac:dyDescent="0.3">
      <c r="A39">
        <v>0</v>
      </c>
      <c r="B39">
        <v>0</v>
      </c>
      <c r="C39">
        <v>0</v>
      </c>
      <c r="D39">
        <v>0</v>
      </c>
    </row>
    <row r="40" spans="1:4" x14ac:dyDescent="0.3">
      <c r="A40">
        <v>36749</v>
      </c>
      <c r="B40">
        <v>28694</v>
      </c>
      <c r="C40">
        <v>-1776</v>
      </c>
      <c r="D40">
        <v>-998</v>
      </c>
    </row>
    <row r="41" spans="1:4" x14ac:dyDescent="0.3">
      <c r="A41">
        <v>45249</v>
      </c>
      <c r="B41">
        <v>37441</v>
      </c>
      <c r="C41">
        <v>-1658</v>
      </c>
      <c r="D41">
        <v>-1210</v>
      </c>
    </row>
    <row r="42" spans="1:4" x14ac:dyDescent="0.3">
      <c r="A42">
        <v>51316</v>
      </c>
      <c r="B42">
        <v>44695</v>
      </c>
      <c r="C42">
        <v>-1442</v>
      </c>
      <c r="D42">
        <v>-9827</v>
      </c>
    </row>
    <row r="43" spans="1:4" x14ac:dyDescent="0.3">
      <c r="A43">
        <v>44517</v>
      </c>
      <c r="B43">
        <v>38133</v>
      </c>
      <c r="C43">
        <v>-1324</v>
      </c>
      <c r="D43">
        <v>-8100</v>
      </c>
    </row>
    <row r="44" spans="1:4" x14ac:dyDescent="0.3">
      <c r="A44">
        <v>42470</v>
      </c>
      <c r="B44">
        <v>35443</v>
      </c>
      <c r="C44">
        <v>-1279</v>
      </c>
      <c r="D44">
        <v>-4910</v>
      </c>
    </row>
    <row r="45" spans="1:4" x14ac:dyDescent="0.3">
      <c r="A45">
        <v>39702</v>
      </c>
      <c r="B45">
        <v>31790</v>
      </c>
      <c r="C45">
        <v>-1136</v>
      </c>
      <c r="D45">
        <v>-4203</v>
      </c>
    </row>
    <row r="46" spans="1:4" x14ac:dyDescent="0.3">
      <c r="A46">
        <v>16366</v>
      </c>
      <c r="B46">
        <v>7715</v>
      </c>
      <c r="C46">
        <v>-1214</v>
      </c>
      <c r="D46">
        <v>-523</v>
      </c>
    </row>
    <row r="47" spans="1:4" x14ac:dyDescent="0.3">
      <c r="A47">
        <v>0</v>
      </c>
      <c r="B47">
        <v>0</v>
      </c>
      <c r="C47">
        <v>0</v>
      </c>
      <c r="D47">
        <v>0</v>
      </c>
    </row>
    <row r="48" spans="1:4" x14ac:dyDescent="0.3">
      <c r="A48">
        <v>0</v>
      </c>
      <c r="B48">
        <v>0</v>
      </c>
      <c r="C48">
        <v>0</v>
      </c>
      <c r="D48">
        <v>0</v>
      </c>
    </row>
    <row r="49" spans="1:4" x14ac:dyDescent="0.3">
      <c r="A49">
        <v>3977</v>
      </c>
      <c r="B49">
        <v>2145</v>
      </c>
      <c r="C49">
        <v>-437</v>
      </c>
      <c r="D49">
        <v>-68</v>
      </c>
    </row>
    <row r="50" spans="1:4" x14ac:dyDescent="0.3">
      <c r="A50">
        <v>5371</v>
      </c>
      <c r="B50">
        <v>3696</v>
      </c>
      <c r="C50">
        <v>-408</v>
      </c>
      <c r="D50">
        <v>-955</v>
      </c>
    </row>
    <row r="51" spans="1:4" x14ac:dyDescent="0.3">
      <c r="A51">
        <v>6438</v>
      </c>
      <c r="B51">
        <v>4451</v>
      </c>
      <c r="C51">
        <v>-414</v>
      </c>
      <c r="D51">
        <v>383</v>
      </c>
    </row>
    <row r="52" spans="1:4" x14ac:dyDescent="0.3">
      <c r="A52">
        <v>4246</v>
      </c>
      <c r="B52">
        <v>1720</v>
      </c>
      <c r="C52">
        <v>-440</v>
      </c>
      <c r="D52">
        <v>-100</v>
      </c>
    </row>
    <row r="53" spans="1:4" x14ac:dyDescent="0.3">
      <c r="A53">
        <v>5689</v>
      </c>
      <c r="B53">
        <v>3224</v>
      </c>
      <c r="C53">
        <v>-466</v>
      </c>
      <c r="D53">
        <v>-13</v>
      </c>
    </row>
    <row r="54" spans="1:4" x14ac:dyDescent="0.3">
      <c r="A54">
        <v>7048</v>
      </c>
      <c r="B54">
        <v>4152</v>
      </c>
      <c r="C54">
        <v>-532</v>
      </c>
      <c r="D54">
        <v>-899</v>
      </c>
    </row>
    <row r="55" spans="1:4" x14ac:dyDescent="0.3">
      <c r="A55">
        <v>2875</v>
      </c>
      <c r="B55">
        <v>304</v>
      </c>
      <c r="C55">
        <v>-565</v>
      </c>
      <c r="D55">
        <v>279</v>
      </c>
    </row>
    <row r="56" spans="1:4" x14ac:dyDescent="0.3">
      <c r="A56">
        <v>0</v>
      </c>
      <c r="B56">
        <v>0</v>
      </c>
      <c r="C56">
        <v>0</v>
      </c>
      <c r="D56">
        <v>0</v>
      </c>
    </row>
    <row r="57" spans="1:4" x14ac:dyDescent="0.3">
      <c r="A57">
        <v>0</v>
      </c>
      <c r="B57">
        <v>0</v>
      </c>
      <c r="C57">
        <v>0</v>
      </c>
      <c r="D57">
        <v>0</v>
      </c>
    </row>
    <row r="58" spans="1:4" x14ac:dyDescent="0.3">
      <c r="A58">
        <v>8574</v>
      </c>
      <c r="B58">
        <v>5005</v>
      </c>
      <c r="C58">
        <v>-507</v>
      </c>
      <c r="D58">
        <v>-766</v>
      </c>
    </row>
    <row r="59" spans="1:4" x14ac:dyDescent="0.3">
      <c r="A59">
        <v>4593</v>
      </c>
      <c r="B59">
        <v>1353</v>
      </c>
      <c r="C59">
        <v>-507</v>
      </c>
      <c r="D59">
        <v>-2024</v>
      </c>
    </row>
    <row r="60" spans="1:4" x14ac:dyDescent="0.3">
      <c r="A60">
        <v>4256</v>
      </c>
      <c r="B60">
        <v>2064</v>
      </c>
      <c r="C60">
        <v>-486</v>
      </c>
      <c r="D60">
        <v>88</v>
      </c>
    </row>
    <row r="61" spans="1:4" x14ac:dyDescent="0.3">
      <c r="A61">
        <v>3639</v>
      </c>
      <c r="B61">
        <v>1789</v>
      </c>
      <c r="C61">
        <v>-509</v>
      </c>
      <c r="D61">
        <v>124</v>
      </c>
    </row>
    <row r="62" spans="1:4" x14ac:dyDescent="0.3">
      <c r="A62">
        <v>2700</v>
      </c>
      <c r="B62">
        <v>1281</v>
      </c>
      <c r="C62">
        <v>-575</v>
      </c>
      <c r="D62">
        <v>186</v>
      </c>
    </row>
    <row r="63" spans="1:4" x14ac:dyDescent="0.3">
      <c r="A63">
        <v>3539</v>
      </c>
      <c r="B63">
        <v>1922</v>
      </c>
      <c r="C63">
        <v>-648</v>
      </c>
      <c r="D63">
        <v>-43</v>
      </c>
    </row>
    <row r="64" spans="1:4" x14ac:dyDescent="0.3">
      <c r="A64">
        <v>1944</v>
      </c>
      <c r="B64">
        <v>551</v>
      </c>
      <c r="C64">
        <v>-602</v>
      </c>
      <c r="D64">
        <v>105</v>
      </c>
    </row>
    <row r="65" spans="1:4" x14ac:dyDescent="0.3">
      <c r="A65">
        <v>0</v>
      </c>
      <c r="B65">
        <v>0</v>
      </c>
      <c r="C65">
        <v>0</v>
      </c>
      <c r="D65">
        <v>0</v>
      </c>
    </row>
    <row r="66" spans="1:4" x14ac:dyDescent="0.3">
      <c r="A66">
        <v>0</v>
      </c>
      <c r="B66">
        <v>0</v>
      </c>
      <c r="C66">
        <v>0</v>
      </c>
      <c r="D66">
        <v>0</v>
      </c>
    </row>
    <row r="67" spans="1:4" x14ac:dyDescent="0.3">
      <c r="A67">
        <v>1743.817</v>
      </c>
      <c r="B67">
        <v>290.49099999999999</v>
      </c>
      <c r="C67">
        <v>-155.82</v>
      </c>
      <c r="D67">
        <v>-51.683999999999997</v>
      </c>
    </row>
    <row r="68" spans="1:4" x14ac:dyDescent="0.3">
      <c r="A68">
        <v>3591.5930000000008</v>
      </c>
      <c r="B68">
        <v>1760.5700000000008</v>
      </c>
      <c r="C68">
        <v>-205.886</v>
      </c>
      <c r="D68">
        <v>-233.46199999999999</v>
      </c>
    </row>
    <row r="69" spans="1:4" x14ac:dyDescent="0.3">
      <c r="A69">
        <v>4199.0330000000004</v>
      </c>
      <c r="B69">
        <v>1805.2190000000005</v>
      </c>
      <c r="C69">
        <v>-268.10399999999998</v>
      </c>
      <c r="D69">
        <v>-260.22399999999999</v>
      </c>
    </row>
    <row r="70" spans="1:4" x14ac:dyDescent="0.3">
      <c r="A70">
        <v>4922.0379999999968</v>
      </c>
      <c r="B70">
        <v>1897.5239999999967</v>
      </c>
      <c r="C70">
        <v>-263.25400000000002</v>
      </c>
      <c r="D70">
        <v>-360.00599999999997</v>
      </c>
    </row>
    <row r="71" spans="1:4" x14ac:dyDescent="0.3">
      <c r="A71">
        <v>7983.0320000000011</v>
      </c>
      <c r="B71">
        <v>4485.0220000000008</v>
      </c>
      <c r="C71">
        <v>-284.59899999999999</v>
      </c>
      <c r="D71">
        <v>-294.73899999999998</v>
      </c>
    </row>
    <row r="72" spans="1:4" x14ac:dyDescent="0.3">
      <c r="A72">
        <v>7998.5159999999987</v>
      </c>
      <c r="B72">
        <v>4116.7959999999985</v>
      </c>
      <c r="C72">
        <v>-258.62799999999999</v>
      </c>
      <c r="D72">
        <v>-342.74099999999999</v>
      </c>
    </row>
    <row r="73" spans="1:4" x14ac:dyDescent="0.3">
      <c r="A73">
        <v>2887.4370000000008</v>
      </c>
      <c r="B73">
        <v>-303.0059999999994</v>
      </c>
      <c r="C73">
        <v>-279.23399999999998</v>
      </c>
      <c r="D73">
        <v>-41.107999999999997</v>
      </c>
    </row>
    <row r="74" spans="1:4" x14ac:dyDescent="0.3">
      <c r="A74">
        <v>0</v>
      </c>
      <c r="B74">
        <v>0</v>
      </c>
      <c r="C74">
        <v>0</v>
      </c>
      <c r="D74">
        <v>0</v>
      </c>
    </row>
    <row r="75" spans="1:4" x14ac:dyDescent="0.3">
      <c r="A75">
        <v>0</v>
      </c>
      <c r="B75">
        <v>0</v>
      </c>
      <c r="C75">
        <v>0</v>
      </c>
      <c r="D75">
        <v>0</v>
      </c>
    </row>
    <row r="76" spans="1:4" x14ac:dyDescent="0.3">
      <c r="A76">
        <v>7216</v>
      </c>
      <c r="B76">
        <v>4958</v>
      </c>
      <c r="C76">
        <v>-164</v>
      </c>
      <c r="D76">
        <v>-1400</v>
      </c>
    </row>
    <row r="77" spans="1:4" x14ac:dyDescent="0.3">
      <c r="A77">
        <v>10340</v>
      </c>
      <c r="B77">
        <v>7672</v>
      </c>
      <c r="C77">
        <v>-161</v>
      </c>
      <c r="D77">
        <v>-2400</v>
      </c>
    </row>
    <row r="78" spans="1:4" x14ac:dyDescent="0.3">
      <c r="A78">
        <v>13229</v>
      </c>
      <c r="B78">
        <v>10165</v>
      </c>
      <c r="C78">
        <v>-315</v>
      </c>
      <c r="D78">
        <v>-2900</v>
      </c>
    </row>
    <row r="79" spans="1:4" x14ac:dyDescent="0.3">
      <c r="A79">
        <v>10393</v>
      </c>
      <c r="B79">
        <v>7328</v>
      </c>
      <c r="C79">
        <v>-190</v>
      </c>
      <c r="D79">
        <v>-2300</v>
      </c>
    </row>
    <row r="80" spans="1:4" x14ac:dyDescent="0.3">
      <c r="A80">
        <v>10324</v>
      </c>
      <c r="B80">
        <v>6648</v>
      </c>
      <c r="C80">
        <v>-375</v>
      </c>
      <c r="D80">
        <v>-1800</v>
      </c>
    </row>
    <row r="81" spans="1:4" x14ac:dyDescent="0.3">
      <c r="A81">
        <v>9300</v>
      </c>
      <c r="B81">
        <v>5599</v>
      </c>
      <c r="C81">
        <v>-399</v>
      </c>
      <c r="D81">
        <v>-2900</v>
      </c>
    </row>
    <row r="82" spans="1:4" x14ac:dyDescent="0.3">
      <c r="A82">
        <v>3944</v>
      </c>
      <c r="B82">
        <v>58</v>
      </c>
      <c r="C82">
        <v>-384</v>
      </c>
      <c r="D82">
        <v>-1000</v>
      </c>
    </row>
    <row r="83" spans="1:4" x14ac:dyDescent="0.3">
      <c r="A83">
        <v>0</v>
      </c>
      <c r="B83">
        <v>0</v>
      </c>
      <c r="C83">
        <v>0</v>
      </c>
      <c r="D83">
        <v>0</v>
      </c>
    </row>
    <row r="84" spans="1:4" x14ac:dyDescent="0.3">
      <c r="A84">
        <v>0</v>
      </c>
      <c r="B84">
        <v>0</v>
      </c>
      <c r="C84">
        <v>0</v>
      </c>
      <c r="D84">
        <v>0</v>
      </c>
    </row>
    <row r="85" spans="1:4" x14ac:dyDescent="0.3">
      <c r="A85">
        <v>748.22199999999998</v>
      </c>
      <c r="B85">
        <v>184.07299999999998</v>
      </c>
      <c r="C85">
        <v>-183.00399999999999</v>
      </c>
      <c r="D85">
        <v>11.703999999999999</v>
      </c>
    </row>
    <row r="86" spans="1:4" x14ac:dyDescent="0.3">
      <c r="A86">
        <v>887.46299999999985</v>
      </c>
      <c r="B86">
        <v>1387.319</v>
      </c>
      <c r="C86">
        <v>-198.32599999999999</v>
      </c>
      <c r="D86">
        <v>-9.8640000000000008</v>
      </c>
    </row>
    <row r="87" spans="1:4" x14ac:dyDescent="0.3">
      <c r="A87">
        <v>1177.9380000000001</v>
      </c>
      <c r="B87">
        <v>570.53300000000013</v>
      </c>
      <c r="C87">
        <v>-194.96600000000001</v>
      </c>
      <c r="D87">
        <v>-6.9480000000000004</v>
      </c>
    </row>
    <row r="88" spans="1:4" x14ac:dyDescent="0.3">
      <c r="A88">
        <v>1470</v>
      </c>
      <c r="B88">
        <v>781</v>
      </c>
      <c r="C88">
        <v>-215</v>
      </c>
      <c r="D88">
        <v>-4.2590000000000003</v>
      </c>
    </row>
    <row r="89" spans="1:4" x14ac:dyDescent="0.3">
      <c r="A89">
        <v>1915</v>
      </c>
      <c r="B89">
        <v>1026</v>
      </c>
      <c r="C89">
        <v>-194</v>
      </c>
      <c r="D89">
        <v>-10.362</v>
      </c>
    </row>
    <row r="90" spans="1:4" x14ac:dyDescent="0.3">
      <c r="A90">
        <v>2176</v>
      </c>
      <c r="B90">
        <v>1129</v>
      </c>
      <c r="C90">
        <v>-188</v>
      </c>
      <c r="D90">
        <v>-4</v>
      </c>
    </row>
    <row r="91" spans="1:4" x14ac:dyDescent="0.3">
      <c r="A91">
        <v>890</v>
      </c>
      <c r="B91">
        <v>-495</v>
      </c>
      <c r="C91">
        <v>-191</v>
      </c>
      <c r="D91">
        <v>-23</v>
      </c>
    </row>
    <row r="92" spans="1:4" x14ac:dyDescent="0.3">
      <c r="A92">
        <v>0</v>
      </c>
      <c r="B92">
        <v>0</v>
      </c>
      <c r="C92">
        <v>0</v>
      </c>
      <c r="D92">
        <v>0</v>
      </c>
    </row>
    <row r="93" spans="1:4" x14ac:dyDescent="0.3">
      <c r="A93">
        <v>0</v>
      </c>
      <c r="B93">
        <v>0</v>
      </c>
      <c r="C93">
        <v>0</v>
      </c>
      <c r="D93">
        <v>0</v>
      </c>
    </row>
    <row r="94" spans="1:4" x14ac:dyDescent="0.3">
      <c r="A94">
        <v>468.36700000000002</v>
      </c>
      <c r="B94">
        <v>201.21899999999999</v>
      </c>
      <c r="C94">
        <v>-108.685</v>
      </c>
      <c r="D94">
        <v>-0.17</v>
      </c>
    </row>
    <row r="95" spans="1:4" x14ac:dyDescent="0.3">
      <c r="A95">
        <v>501.83199999999999</v>
      </c>
      <c r="B95">
        <v>226.59399999999999</v>
      </c>
      <c r="C95">
        <v>-116.76600000000001</v>
      </c>
      <c r="D95">
        <v>1.359</v>
      </c>
    </row>
    <row r="96" spans="1:4" x14ac:dyDescent="0.3">
      <c r="A96">
        <v>800.06940000000009</v>
      </c>
      <c r="B96">
        <v>458.84840000000008</v>
      </c>
      <c r="C96">
        <v>-133.10300000000001</v>
      </c>
      <c r="D96">
        <v>-0.67500000000000004</v>
      </c>
    </row>
    <row r="97" spans="1:4" x14ac:dyDescent="0.3">
      <c r="A97">
        <v>732.60400000000004</v>
      </c>
      <c r="B97">
        <v>287.37600000000003</v>
      </c>
      <c r="C97">
        <v>-153.249</v>
      </c>
      <c r="D97">
        <v>-0.38600000000000001</v>
      </c>
    </row>
    <row r="98" spans="1:4" x14ac:dyDescent="0.3">
      <c r="A98">
        <v>798.73699999999974</v>
      </c>
      <c r="B98">
        <v>306.33999999999975</v>
      </c>
      <c r="C98">
        <v>-176.55</v>
      </c>
      <c r="D98">
        <v>0.34699999999999998</v>
      </c>
    </row>
    <row r="99" spans="1:4" x14ac:dyDescent="0.3">
      <c r="A99">
        <v>984.70800000000008</v>
      </c>
      <c r="B99">
        <v>433.67600000000004</v>
      </c>
      <c r="C99">
        <v>-167.977</v>
      </c>
      <c r="D99">
        <v>0.156</v>
      </c>
    </row>
    <row r="100" spans="1:4" x14ac:dyDescent="0.3">
      <c r="A100">
        <v>191.39500000000004</v>
      </c>
      <c r="B100">
        <v>-389.75999999999993</v>
      </c>
      <c r="C100">
        <v>-166.43899999999999</v>
      </c>
      <c r="D100">
        <v>-0.1</v>
      </c>
    </row>
    <row r="101" spans="1:4" x14ac:dyDescent="0.3">
      <c r="A101">
        <v>0</v>
      </c>
      <c r="B101">
        <v>0</v>
      </c>
      <c r="C101">
        <v>0</v>
      </c>
      <c r="D101">
        <v>0</v>
      </c>
    </row>
    <row r="102" spans="1:4" x14ac:dyDescent="0.3">
      <c r="A102">
        <v>0</v>
      </c>
      <c r="B102">
        <v>0</v>
      </c>
      <c r="C102">
        <v>0</v>
      </c>
      <c r="D102">
        <v>0</v>
      </c>
    </row>
    <row r="103" spans="1:4" x14ac:dyDescent="0.3">
      <c r="A103">
        <v>1424.6389999999999</v>
      </c>
      <c r="B103">
        <v>950.62499999999989</v>
      </c>
      <c r="C103">
        <v>-16.452999999999999</v>
      </c>
      <c r="D103">
        <v>64.968999999999994</v>
      </c>
    </row>
    <row r="104" spans="1:4" x14ac:dyDescent="0.3">
      <c r="A104">
        <v>2037.5529999999999</v>
      </c>
      <c r="B104">
        <v>1476.5499999999997</v>
      </c>
      <c r="C104">
        <v>-24.048999999999999</v>
      </c>
      <c r="D104">
        <v>-11.939</v>
      </c>
    </row>
    <row r="105" spans="1:4" x14ac:dyDescent="0.3">
      <c r="A105">
        <v>2260.1469999999999</v>
      </c>
      <c r="B105">
        <v>1594.04</v>
      </c>
      <c r="C105">
        <v>-19.158999999999999</v>
      </c>
      <c r="D105">
        <v>-4.1980000000000004</v>
      </c>
    </row>
    <row r="106" spans="1:4" x14ac:dyDescent="0.3">
      <c r="A106">
        <v>1982</v>
      </c>
      <c r="B106">
        <v>1217</v>
      </c>
      <c r="C106">
        <v>-97</v>
      </c>
      <c r="D106">
        <v>-0.81799999999999995</v>
      </c>
    </row>
    <row r="107" spans="1:4" x14ac:dyDescent="0.3">
      <c r="A107">
        <v>2478</v>
      </c>
      <c r="B107">
        <v>1743</v>
      </c>
      <c r="C107">
        <v>-104</v>
      </c>
      <c r="D107">
        <v>-18.786999999999999</v>
      </c>
    </row>
    <row r="108" spans="1:4" x14ac:dyDescent="0.3">
      <c r="A108">
        <v>2958</v>
      </c>
      <c r="B108">
        <v>2074</v>
      </c>
      <c r="C108">
        <v>-114</v>
      </c>
      <c r="D108">
        <v>-28</v>
      </c>
    </row>
    <row r="109" spans="1:4" x14ac:dyDescent="0.3">
      <c r="A109">
        <v>1767</v>
      </c>
      <c r="B109">
        <v>739</v>
      </c>
      <c r="C109">
        <v>-260</v>
      </c>
      <c r="D109">
        <v>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D17" sqref="D17"/>
    </sheetView>
  </sheetViews>
  <sheetFormatPr defaultRowHeight="14.4" x14ac:dyDescent="0.3"/>
  <cols>
    <col min="1" max="1" width="13.5546875" bestFit="1" customWidth="1"/>
    <col min="2" max="2" width="27.109375" bestFit="1" customWidth="1"/>
    <col min="3" max="3" width="23.33203125" bestFit="1" customWidth="1"/>
    <col min="4" max="4" width="15.5546875" bestFit="1" customWidth="1"/>
  </cols>
  <sheetData>
    <row r="1" spans="1:4" x14ac:dyDescent="0.3">
      <c r="A1" s="105" t="s">
        <v>1</v>
      </c>
      <c r="B1" s="106">
        <v>2016</v>
      </c>
    </row>
    <row r="3" spans="1:4" x14ac:dyDescent="0.3">
      <c r="A3" s="105" t="s">
        <v>75</v>
      </c>
      <c r="B3" s="104" t="s">
        <v>114</v>
      </c>
      <c r="C3" s="104" t="s">
        <v>115</v>
      </c>
      <c r="D3" s="104" t="s">
        <v>116</v>
      </c>
    </row>
    <row r="4" spans="1:4" x14ac:dyDescent="0.3">
      <c r="A4" s="106" t="s">
        <v>12</v>
      </c>
      <c r="B4" s="111">
        <v>-2808</v>
      </c>
      <c r="C4" s="111">
        <v>-3183</v>
      </c>
      <c r="D4" s="110">
        <v>375</v>
      </c>
    </row>
    <row r="5" spans="1:4" x14ac:dyDescent="0.3">
      <c r="A5" s="106" t="s">
        <v>13</v>
      </c>
      <c r="B5" s="111">
        <v>-1273</v>
      </c>
      <c r="C5" s="111">
        <v>651</v>
      </c>
      <c r="D5" s="110">
        <v>-1924</v>
      </c>
    </row>
    <row r="6" spans="1:4" x14ac:dyDescent="0.3">
      <c r="A6" s="106" t="s">
        <v>14</v>
      </c>
      <c r="B6" s="111">
        <v>-417.12400000000002</v>
      </c>
      <c r="C6" s="111">
        <v>-154.07110110000008</v>
      </c>
      <c r="D6" s="110">
        <v>-263.05289889999995</v>
      </c>
    </row>
    <row r="7" spans="1:4" x14ac:dyDescent="0.3">
      <c r="A7" s="106" t="s">
        <v>15</v>
      </c>
      <c r="B7" s="111">
        <v>-4399</v>
      </c>
      <c r="C7" s="111">
        <v>-1451</v>
      </c>
      <c r="D7" s="110">
        <v>-2948</v>
      </c>
    </row>
    <row r="8" spans="1:4" x14ac:dyDescent="0.3">
      <c r="A8" s="106" t="s">
        <v>105</v>
      </c>
      <c r="B8" s="111">
        <v>-1462.4459999999999</v>
      </c>
      <c r="C8" s="111">
        <v>-608.77099999999996</v>
      </c>
      <c r="D8" s="110">
        <v>-853.67499999999995</v>
      </c>
    </row>
    <row r="9" spans="1:4" x14ac:dyDescent="0.3">
      <c r="A9" s="106" t="s">
        <v>21</v>
      </c>
      <c r="B9" s="111">
        <v>-3559</v>
      </c>
      <c r="C9" s="111">
        <v>2677</v>
      </c>
      <c r="D9" s="110">
        <v>-6236</v>
      </c>
    </row>
    <row r="10" spans="1:4" x14ac:dyDescent="0.3">
      <c r="A10" s="106" t="s">
        <v>106</v>
      </c>
      <c r="B10" s="111">
        <v>-399.67899999999997</v>
      </c>
      <c r="C10" s="111">
        <v>-555.81752602083293</v>
      </c>
      <c r="D10" s="110">
        <v>156.13852602083296</v>
      </c>
    </row>
    <row r="11" spans="1:4" x14ac:dyDescent="0.3">
      <c r="A11" s="106" t="s">
        <v>16</v>
      </c>
      <c r="B11" s="111">
        <v>-3704</v>
      </c>
      <c r="C11" s="111">
        <v>894</v>
      </c>
      <c r="D11" s="110">
        <v>-4598</v>
      </c>
    </row>
    <row r="12" spans="1:4" x14ac:dyDescent="0.3">
      <c r="A12" s="106" t="s">
        <v>2</v>
      </c>
      <c r="B12" s="111">
        <v>-944</v>
      </c>
      <c r="C12" s="111">
        <v>670</v>
      </c>
      <c r="D12" s="110">
        <v>-1614</v>
      </c>
    </row>
    <row r="13" spans="1:4" x14ac:dyDescent="0.3">
      <c r="A13" s="106" t="s">
        <v>3</v>
      </c>
      <c r="B13" s="111">
        <v>-1096.6859999999999</v>
      </c>
      <c r="C13" s="111">
        <v>-756.40399999999931</v>
      </c>
      <c r="D13" s="110">
        <v>-340.28200000000061</v>
      </c>
    </row>
    <row r="14" spans="1:4" x14ac:dyDescent="0.3">
      <c r="A14" s="106" t="s">
        <v>112</v>
      </c>
      <c r="B14" s="111">
        <v>-6076</v>
      </c>
      <c r="C14" s="111">
        <v>-2664</v>
      </c>
      <c r="D14" s="110">
        <v>-3412</v>
      </c>
    </row>
    <row r="15" spans="1:4" x14ac:dyDescent="0.3">
      <c r="A15" s="106" t="s">
        <v>94</v>
      </c>
      <c r="B15" s="111">
        <v>-2140</v>
      </c>
      <c r="C15" s="111">
        <v>-2175</v>
      </c>
      <c r="D15" s="110">
        <v>35</v>
      </c>
    </row>
    <row r="16" spans="1:4" x14ac:dyDescent="0.3">
      <c r="A16" s="106" t="s">
        <v>17</v>
      </c>
      <c r="B16" s="111">
        <v>-574</v>
      </c>
      <c r="C16" s="111">
        <v>-2009</v>
      </c>
      <c r="D16" s="110">
        <v>1435</v>
      </c>
    </row>
    <row r="17" spans="1:4" x14ac:dyDescent="0.3">
      <c r="A17" s="106" t="s">
        <v>18</v>
      </c>
      <c r="B17" s="111">
        <v>-556</v>
      </c>
      <c r="C17" s="111">
        <v>-410</v>
      </c>
      <c r="D17" s="110">
        <v>-146</v>
      </c>
    </row>
    <row r="18" spans="1:4" x14ac:dyDescent="0.3">
      <c r="A18" s="106" t="s">
        <v>22</v>
      </c>
      <c r="B18" s="111">
        <v>521.38800000000003</v>
      </c>
      <c r="C18" s="111">
        <v>-568.71100000000001</v>
      </c>
      <c r="D18" s="110">
        <v>1090.0990000000002</v>
      </c>
    </row>
    <row r="19" spans="1:4" x14ac:dyDescent="0.3">
      <c r="A19" s="106" t="s">
        <v>19</v>
      </c>
      <c r="B19" s="111">
        <v>-2643</v>
      </c>
      <c r="C19" s="111">
        <v>633</v>
      </c>
      <c r="D19" s="110">
        <v>-3276</v>
      </c>
    </row>
    <row r="20" spans="1:4" x14ac:dyDescent="0.3">
      <c r="A20" s="106" t="s">
        <v>76</v>
      </c>
      <c r="B20" s="111">
        <v>-31530.547000000002</v>
      </c>
      <c r="C20" s="111">
        <v>-9010.7746271208307</v>
      </c>
      <c r="D20" s="110">
        <v>-22519.772372879168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79"/>
  <sheetViews>
    <sheetView workbookViewId="0">
      <selection activeCell="I6" sqref="I6"/>
    </sheetView>
  </sheetViews>
  <sheetFormatPr defaultRowHeight="14.4" x14ac:dyDescent="0.3"/>
  <cols>
    <col min="1" max="2" width="9.109375" style="104"/>
    <col min="3" max="3" width="10.5546875" customWidth="1"/>
    <col min="8" max="8" width="13.109375" customWidth="1"/>
    <col min="9" max="11" width="13.88671875" customWidth="1"/>
  </cols>
  <sheetData>
    <row r="1" spans="1:9" ht="28.8" x14ac:dyDescent="0.3">
      <c r="A1" s="1" t="s">
        <v>0</v>
      </c>
      <c r="B1" s="99" t="s">
        <v>1</v>
      </c>
      <c r="C1" s="101" t="s">
        <v>121</v>
      </c>
      <c r="D1" s="100" t="s">
        <v>10</v>
      </c>
      <c r="E1" s="116" t="s">
        <v>120</v>
      </c>
      <c r="H1" s="105" t="s">
        <v>0</v>
      </c>
      <c r="I1" s="104" t="s">
        <v>117</v>
      </c>
    </row>
    <row r="2" spans="1:9" x14ac:dyDescent="0.3">
      <c r="A2" s="19" t="s">
        <v>12</v>
      </c>
      <c r="B2" s="3">
        <v>2007</v>
      </c>
      <c r="C2" s="117">
        <v>0</v>
      </c>
      <c r="D2" s="118">
        <v>0</v>
      </c>
      <c r="E2" s="119">
        <v>0</v>
      </c>
    </row>
    <row r="3" spans="1:9" x14ac:dyDescent="0.3">
      <c r="A3" s="19" t="s">
        <v>12</v>
      </c>
      <c r="B3" s="3">
        <v>2008</v>
      </c>
      <c r="C3" s="117">
        <v>0</v>
      </c>
      <c r="D3" s="118">
        <v>0</v>
      </c>
      <c r="E3" s="119">
        <v>170</v>
      </c>
      <c r="H3" s="105" t="s">
        <v>75</v>
      </c>
      <c r="I3" t="s">
        <v>122</v>
      </c>
    </row>
    <row r="4" spans="1:9" x14ac:dyDescent="0.3">
      <c r="A4" s="19" t="s">
        <v>12</v>
      </c>
      <c r="B4" s="3">
        <v>2009</v>
      </c>
      <c r="C4" s="120">
        <f>3926</f>
        <v>3926</v>
      </c>
      <c r="D4" s="118">
        <v>4660</v>
      </c>
      <c r="E4" s="119">
        <v>176</v>
      </c>
      <c r="H4" s="106">
        <v>2009</v>
      </c>
      <c r="I4" s="110">
        <v>-948.58699999999226</v>
      </c>
    </row>
    <row r="5" spans="1:9" x14ac:dyDescent="0.3">
      <c r="A5" s="19" t="s">
        <v>12</v>
      </c>
      <c r="B5" s="3">
        <v>2010</v>
      </c>
      <c r="C5" s="120">
        <f>5247</f>
        <v>5247</v>
      </c>
      <c r="D5" s="118">
        <v>5086</v>
      </c>
      <c r="E5" s="119">
        <v>180</v>
      </c>
      <c r="H5" s="106">
        <v>2010</v>
      </c>
      <c r="I5" s="110">
        <v>-29006.267999999996</v>
      </c>
    </row>
    <row r="6" spans="1:9" x14ac:dyDescent="0.3">
      <c r="A6" s="19" t="s">
        <v>12</v>
      </c>
      <c r="B6" s="3">
        <v>2011</v>
      </c>
      <c r="C6" s="120">
        <f>2505</f>
        <v>2505</v>
      </c>
      <c r="D6" s="118">
        <v>5641</v>
      </c>
      <c r="E6" s="119">
        <v>181</v>
      </c>
      <c r="H6" s="106">
        <v>2011</v>
      </c>
      <c r="I6" s="110">
        <v>-25421.981</v>
      </c>
    </row>
    <row r="7" spans="1:9" x14ac:dyDescent="0.3">
      <c r="A7" s="20" t="s">
        <v>12</v>
      </c>
      <c r="B7" s="4">
        <v>2012</v>
      </c>
      <c r="C7" s="120">
        <f>8339</f>
        <v>8339</v>
      </c>
      <c r="D7" s="118">
        <v>6367</v>
      </c>
      <c r="E7" s="119">
        <v>181</v>
      </c>
      <c r="H7" s="106">
        <v>2012</v>
      </c>
      <c r="I7" s="110">
        <v>-40154.233999999982</v>
      </c>
    </row>
    <row r="8" spans="1:9" x14ac:dyDescent="0.3">
      <c r="A8" s="19" t="s">
        <v>12</v>
      </c>
      <c r="B8" s="3">
        <v>2013</v>
      </c>
      <c r="C8" s="120">
        <f>8888</f>
        <v>8888</v>
      </c>
      <c r="D8" s="121">
        <v>7486</v>
      </c>
      <c r="E8" s="119">
        <v>274</v>
      </c>
      <c r="H8" s="106">
        <v>2013</v>
      </c>
      <c r="I8" s="110">
        <v>-15190.093999999997</v>
      </c>
    </row>
    <row r="9" spans="1:9" x14ac:dyDescent="0.3">
      <c r="A9" s="19" t="s">
        <v>12</v>
      </c>
      <c r="B9" s="3">
        <v>2014</v>
      </c>
      <c r="C9" s="120">
        <v>8466</v>
      </c>
      <c r="D9" s="121">
        <v>8712</v>
      </c>
      <c r="E9" s="119">
        <v>505</v>
      </c>
      <c r="H9" s="106">
        <v>2014</v>
      </c>
      <c r="I9" s="110">
        <v>-44547.688999999998</v>
      </c>
    </row>
    <row r="10" spans="1:9" x14ac:dyDescent="0.3">
      <c r="A10" s="19" t="s">
        <v>12</v>
      </c>
      <c r="B10" s="3">
        <v>2015</v>
      </c>
      <c r="C10" s="122">
        <v>-1877</v>
      </c>
      <c r="D10" s="121">
        <v>5753</v>
      </c>
      <c r="E10" s="119">
        <v>553</v>
      </c>
      <c r="H10" s="106">
        <v>2015</v>
      </c>
      <c r="I10" s="110">
        <v>-33561.69</v>
      </c>
    </row>
    <row r="11" spans="1:9" x14ac:dyDescent="0.3">
      <c r="A11" s="21" t="s">
        <v>12</v>
      </c>
      <c r="B11" s="94">
        <v>2016</v>
      </c>
      <c r="C11" s="123">
        <v>3000</v>
      </c>
      <c r="D11" s="124">
        <v>5633</v>
      </c>
      <c r="E11" s="119">
        <v>105</v>
      </c>
      <c r="H11" s="106">
        <v>2016</v>
      </c>
      <c r="I11" s="110">
        <v>-23820.466</v>
      </c>
    </row>
    <row r="12" spans="1:9" x14ac:dyDescent="0.3">
      <c r="A12" s="19" t="s">
        <v>13</v>
      </c>
      <c r="B12" s="3">
        <v>2007</v>
      </c>
      <c r="C12" s="117">
        <v>0</v>
      </c>
      <c r="D12" s="118">
        <v>0</v>
      </c>
      <c r="E12" s="119">
        <v>0</v>
      </c>
      <c r="H12" s="106" t="s">
        <v>76</v>
      </c>
      <c r="I12" s="110">
        <v>-212651.00899999979</v>
      </c>
    </row>
    <row r="13" spans="1:9" x14ac:dyDescent="0.3">
      <c r="A13" s="19" t="s">
        <v>13</v>
      </c>
      <c r="B13" s="3">
        <v>2008</v>
      </c>
      <c r="C13" s="117">
        <v>0</v>
      </c>
      <c r="D13" s="118">
        <v>0</v>
      </c>
      <c r="E13" s="119">
        <v>239</v>
      </c>
    </row>
    <row r="14" spans="1:9" x14ac:dyDescent="0.3">
      <c r="A14" s="19" t="s">
        <v>13</v>
      </c>
      <c r="B14" s="3">
        <v>2009</v>
      </c>
      <c r="C14" s="120">
        <f>4224</f>
        <v>4224</v>
      </c>
      <c r="D14" s="118">
        <f>3809-61-293</f>
        <v>3455</v>
      </c>
      <c r="E14" s="119">
        <v>209</v>
      </c>
    </row>
    <row r="15" spans="1:9" x14ac:dyDescent="0.3">
      <c r="A15" s="19" t="s">
        <v>13</v>
      </c>
      <c r="B15" s="3">
        <v>2010</v>
      </c>
      <c r="C15" s="120">
        <f>6726</f>
        <v>6726</v>
      </c>
      <c r="D15" s="118">
        <f>17208-111-1306</f>
        <v>15791</v>
      </c>
      <c r="E15" s="119">
        <v>226</v>
      </c>
    </row>
    <row r="16" spans="1:9" x14ac:dyDescent="0.3">
      <c r="A16" s="19" t="s">
        <v>13</v>
      </c>
      <c r="B16" s="3">
        <v>2011</v>
      </c>
      <c r="C16" s="120">
        <f>9953</f>
        <v>9953</v>
      </c>
      <c r="D16" s="118">
        <f>10762-243-1411</f>
        <v>9108</v>
      </c>
      <c r="E16" s="119">
        <v>306</v>
      </c>
    </row>
    <row r="17" spans="1:5" x14ac:dyDescent="0.3">
      <c r="A17" s="20" t="s">
        <v>13</v>
      </c>
      <c r="B17" s="4">
        <v>2012</v>
      </c>
      <c r="C17" s="120">
        <f>8504</f>
        <v>8504</v>
      </c>
      <c r="D17" s="118">
        <f>13831-316-1032</f>
        <v>12483</v>
      </c>
      <c r="E17" s="119">
        <v>332</v>
      </c>
    </row>
    <row r="18" spans="1:5" x14ac:dyDescent="0.3">
      <c r="A18" s="19" t="s">
        <v>13</v>
      </c>
      <c r="B18" s="3">
        <v>2013</v>
      </c>
      <c r="C18" s="120">
        <v>8685</v>
      </c>
      <c r="D18" s="121">
        <f>10782-340-537</f>
        <v>9905</v>
      </c>
      <c r="E18" s="119">
        <v>360</v>
      </c>
    </row>
    <row r="19" spans="1:5" x14ac:dyDescent="0.3">
      <c r="A19" s="19" t="s">
        <v>13</v>
      </c>
      <c r="B19" s="3">
        <v>2014</v>
      </c>
      <c r="C19" s="122">
        <v>7957</v>
      </c>
      <c r="D19" s="121">
        <v>11481</v>
      </c>
      <c r="E19" s="119">
        <v>365</v>
      </c>
    </row>
    <row r="20" spans="1:5" x14ac:dyDescent="0.3">
      <c r="A20" s="19" t="s">
        <v>13</v>
      </c>
      <c r="B20" s="3">
        <v>2015</v>
      </c>
      <c r="C20" s="122">
        <v>2667</v>
      </c>
      <c r="D20" s="121">
        <v>4249</v>
      </c>
      <c r="E20" s="119">
        <v>377</v>
      </c>
    </row>
    <row r="21" spans="1:5" x14ac:dyDescent="0.3">
      <c r="A21" s="21" t="s">
        <v>13</v>
      </c>
      <c r="B21" s="94">
        <v>2016</v>
      </c>
      <c r="C21" s="123">
        <v>2430</v>
      </c>
      <c r="D21" s="124">
        <v>1635</v>
      </c>
      <c r="E21" s="119">
        <v>379</v>
      </c>
    </row>
    <row r="22" spans="1:5" x14ac:dyDescent="0.3">
      <c r="A22" s="19" t="s">
        <v>14</v>
      </c>
      <c r="B22" s="3">
        <v>2007</v>
      </c>
      <c r="C22" s="117">
        <v>0</v>
      </c>
      <c r="D22" s="118">
        <v>0</v>
      </c>
      <c r="E22" s="119">
        <v>0</v>
      </c>
    </row>
    <row r="23" spans="1:5" x14ac:dyDescent="0.3">
      <c r="A23" s="19" t="s">
        <v>14</v>
      </c>
      <c r="B23" s="3">
        <v>2008</v>
      </c>
      <c r="C23" s="117">
        <v>0</v>
      </c>
      <c r="D23" s="118">
        <v>0</v>
      </c>
      <c r="E23" s="119">
        <v>12</v>
      </c>
    </row>
    <row r="24" spans="1:5" x14ac:dyDescent="0.3">
      <c r="A24" s="19" t="s">
        <v>14</v>
      </c>
      <c r="B24" s="3">
        <v>2009</v>
      </c>
      <c r="C24" s="120">
        <f>614.052</f>
        <v>614.05200000000002</v>
      </c>
      <c r="D24" s="118">
        <v>593.41100000000006</v>
      </c>
      <c r="E24" s="119">
        <v>12</v>
      </c>
    </row>
    <row r="25" spans="1:5" x14ac:dyDescent="0.3">
      <c r="A25" s="19" t="s">
        <v>14</v>
      </c>
      <c r="B25" s="3">
        <v>2010</v>
      </c>
      <c r="C25" s="120">
        <f>484.911</f>
        <v>484.911</v>
      </c>
      <c r="D25" s="118">
        <v>828.35500000000002</v>
      </c>
      <c r="E25" s="119">
        <v>12</v>
      </c>
    </row>
    <row r="26" spans="1:5" x14ac:dyDescent="0.3">
      <c r="A26" s="19" t="s">
        <v>14</v>
      </c>
      <c r="B26" s="3">
        <v>2011</v>
      </c>
      <c r="C26" s="120">
        <f>501.839</f>
        <v>501.839</v>
      </c>
      <c r="D26" s="118">
        <v>888.25299999999993</v>
      </c>
      <c r="E26" s="119">
        <v>13</v>
      </c>
    </row>
    <row r="27" spans="1:5" x14ac:dyDescent="0.3">
      <c r="A27" s="20" t="s">
        <v>14</v>
      </c>
      <c r="B27" s="4">
        <v>2012</v>
      </c>
      <c r="C27" s="120">
        <f>652.093</f>
        <v>652.09299999999996</v>
      </c>
      <c r="D27" s="118">
        <v>969.88400000000001</v>
      </c>
      <c r="E27" s="119">
        <v>17</v>
      </c>
    </row>
    <row r="28" spans="1:5" x14ac:dyDescent="0.3">
      <c r="A28" s="19" t="s">
        <v>14</v>
      </c>
      <c r="B28" s="3">
        <v>2013</v>
      </c>
      <c r="C28" s="120">
        <f>1024.526</f>
        <v>1024.5260000000001</v>
      </c>
      <c r="D28" s="121">
        <v>1186.105</v>
      </c>
      <c r="E28" s="119">
        <v>25</v>
      </c>
    </row>
    <row r="29" spans="1:5" x14ac:dyDescent="0.3">
      <c r="A29" s="19" t="s">
        <v>14</v>
      </c>
      <c r="B29" s="3">
        <v>2014</v>
      </c>
      <c r="C29" s="122">
        <f>1236.435</f>
        <v>1236.4349999999999</v>
      </c>
      <c r="D29" s="121">
        <v>1771.7330000000002</v>
      </c>
      <c r="E29" s="119">
        <v>33</v>
      </c>
    </row>
    <row r="30" spans="1:5" x14ac:dyDescent="0.3">
      <c r="A30" s="19" t="s">
        <v>14</v>
      </c>
      <c r="B30" s="3">
        <v>2015</v>
      </c>
      <c r="C30" s="122">
        <v>740.73699999999997</v>
      </c>
      <c r="D30" s="121">
        <v>793.86300000000006</v>
      </c>
      <c r="E30" s="119">
        <v>33</v>
      </c>
    </row>
    <row r="31" spans="1:5" x14ac:dyDescent="0.3">
      <c r="A31" s="21" t="s">
        <v>14</v>
      </c>
      <c r="B31" s="94">
        <v>2016</v>
      </c>
      <c r="C31" s="123">
        <v>392.37700000000001</v>
      </c>
      <c r="D31" s="124">
        <v>389.84399999999999</v>
      </c>
      <c r="E31" s="119">
        <v>36</v>
      </c>
    </row>
    <row r="32" spans="1:5" x14ac:dyDescent="0.3">
      <c r="A32" s="19" t="s">
        <v>15</v>
      </c>
      <c r="B32" s="3">
        <v>2007</v>
      </c>
      <c r="C32" s="117">
        <v>0</v>
      </c>
      <c r="D32" s="118">
        <v>0</v>
      </c>
      <c r="E32" s="119">
        <v>0</v>
      </c>
    </row>
    <row r="33" spans="1:5" x14ac:dyDescent="0.3">
      <c r="A33" s="19" t="s">
        <v>15</v>
      </c>
      <c r="B33" s="3">
        <v>2008</v>
      </c>
      <c r="C33" s="117">
        <v>0</v>
      </c>
      <c r="D33" s="118">
        <v>0</v>
      </c>
      <c r="E33" s="119">
        <f>148+35</f>
        <v>183</v>
      </c>
    </row>
    <row r="34" spans="1:5" x14ac:dyDescent="0.3">
      <c r="A34" s="19" t="s">
        <v>15</v>
      </c>
      <c r="B34" s="3">
        <v>2009</v>
      </c>
      <c r="C34" s="120">
        <f>4356</f>
        <v>4356</v>
      </c>
      <c r="D34" s="118">
        <v>6396</v>
      </c>
      <c r="E34" s="119">
        <f>181+23</f>
        <v>204</v>
      </c>
    </row>
    <row r="35" spans="1:5" x14ac:dyDescent="0.3">
      <c r="A35" s="19" t="s">
        <v>15</v>
      </c>
      <c r="B35" s="3">
        <v>2010</v>
      </c>
      <c r="C35" s="120">
        <f>5117</f>
        <v>5117</v>
      </c>
      <c r="D35" s="118">
        <v>12809</v>
      </c>
      <c r="E35" s="119">
        <f>189+92</f>
        <v>281</v>
      </c>
    </row>
    <row r="36" spans="1:5" x14ac:dyDescent="0.3">
      <c r="A36" s="19" t="s">
        <v>15</v>
      </c>
      <c r="B36" s="3">
        <v>2011</v>
      </c>
      <c r="C36" s="120">
        <f>5903</f>
        <v>5903</v>
      </c>
      <c r="D36" s="118">
        <v>11812</v>
      </c>
      <c r="E36" s="119">
        <v>379</v>
      </c>
    </row>
    <row r="37" spans="1:5" x14ac:dyDescent="0.3">
      <c r="A37" s="20" t="s">
        <v>15</v>
      </c>
      <c r="B37" s="4">
        <v>2012</v>
      </c>
      <c r="C37" s="120">
        <f>2837</f>
        <v>2837</v>
      </c>
      <c r="D37" s="118">
        <v>11391</v>
      </c>
      <c r="E37" s="119">
        <v>398</v>
      </c>
    </row>
    <row r="38" spans="1:5" x14ac:dyDescent="0.3">
      <c r="A38" s="19" t="s">
        <v>15</v>
      </c>
      <c r="B38" s="3">
        <v>2013</v>
      </c>
      <c r="C38" s="120">
        <f>4614</f>
        <v>4614</v>
      </c>
      <c r="D38" s="121">
        <v>5784</v>
      </c>
      <c r="E38" s="119">
        <v>404</v>
      </c>
    </row>
    <row r="39" spans="1:5" x14ac:dyDescent="0.3">
      <c r="A39" s="19" t="s">
        <v>15</v>
      </c>
      <c r="B39" s="3">
        <v>2014</v>
      </c>
      <c r="C39" s="122">
        <f>4634</f>
        <v>4634</v>
      </c>
      <c r="D39" s="121">
        <v>5420</v>
      </c>
      <c r="E39" s="119">
        <v>405</v>
      </c>
    </row>
    <row r="40" spans="1:5" x14ac:dyDescent="0.3">
      <c r="A40" s="19" t="s">
        <v>15</v>
      </c>
      <c r="B40" s="3">
        <v>2015</v>
      </c>
      <c r="C40" s="122">
        <v>1234</v>
      </c>
      <c r="D40" s="121">
        <v>3112</v>
      </c>
      <c r="E40" s="119">
        <v>289</v>
      </c>
    </row>
    <row r="41" spans="1:5" x14ac:dyDescent="0.3">
      <c r="A41" s="21" t="s">
        <v>15</v>
      </c>
      <c r="B41" s="94">
        <v>2016</v>
      </c>
      <c r="C41" s="123">
        <v>-204</v>
      </c>
      <c r="D41" s="124">
        <f>2170-242+57</f>
        <v>1985</v>
      </c>
      <c r="E41" s="119">
        <v>0</v>
      </c>
    </row>
    <row r="42" spans="1:5" x14ac:dyDescent="0.3">
      <c r="A42" s="19" t="s">
        <v>105</v>
      </c>
      <c r="B42" s="3">
        <v>2007</v>
      </c>
      <c r="C42" s="122">
        <v>0</v>
      </c>
      <c r="D42" s="121">
        <v>0</v>
      </c>
      <c r="E42" s="119">
        <v>0</v>
      </c>
    </row>
    <row r="43" spans="1:5" x14ac:dyDescent="0.3">
      <c r="A43" s="19" t="s">
        <v>105</v>
      </c>
      <c r="B43" s="3">
        <v>2008</v>
      </c>
      <c r="C43" s="122">
        <v>0</v>
      </c>
      <c r="D43" s="121">
        <v>0</v>
      </c>
      <c r="E43" s="119">
        <v>0</v>
      </c>
    </row>
    <row r="44" spans="1:5" x14ac:dyDescent="0.3">
      <c r="A44" s="19" t="s">
        <v>105</v>
      </c>
      <c r="B44" s="3">
        <v>2009</v>
      </c>
      <c r="C44" s="122">
        <v>359.54599999999999</v>
      </c>
      <c r="D44" s="121">
        <v>673.98</v>
      </c>
      <c r="E44" s="119">
        <v>0</v>
      </c>
    </row>
    <row r="45" spans="1:5" x14ac:dyDescent="0.3">
      <c r="A45" s="19" t="s">
        <v>105</v>
      </c>
      <c r="B45" s="3">
        <v>2010</v>
      </c>
      <c r="C45" s="122">
        <v>651.58199999999999</v>
      </c>
      <c r="D45" s="121">
        <v>2370.7999999999997</v>
      </c>
      <c r="E45" s="119">
        <v>0</v>
      </c>
    </row>
    <row r="46" spans="1:5" x14ac:dyDescent="0.3">
      <c r="A46" s="19" t="s">
        <v>105</v>
      </c>
      <c r="B46" s="3">
        <v>2011</v>
      </c>
      <c r="C46" s="122">
        <v>1199.4580000000001</v>
      </c>
      <c r="D46" s="121">
        <v>1818.1310000000003</v>
      </c>
      <c r="E46" s="119">
        <v>0</v>
      </c>
    </row>
    <row r="47" spans="1:5" x14ac:dyDescent="0.3">
      <c r="A47" s="19" t="s">
        <v>105</v>
      </c>
      <c r="B47" s="4">
        <v>2012</v>
      </c>
      <c r="C47" s="122">
        <v>1237.4780000000001</v>
      </c>
      <c r="D47" s="121">
        <v>2803.1109999999999</v>
      </c>
      <c r="E47" s="119">
        <v>0</v>
      </c>
    </row>
    <row r="48" spans="1:5" x14ac:dyDescent="0.3">
      <c r="A48" s="19" t="s">
        <v>105</v>
      </c>
      <c r="B48" s="3">
        <v>2013</v>
      </c>
      <c r="C48" s="122">
        <v>1362.02</v>
      </c>
      <c r="D48" s="121">
        <v>1853.1209999999999</v>
      </c>
      <c r="E48" s="119">
        <v>0</v>
      </c>
    </row>
    <row r="49" spans="1:5" x14ac:dyDescent="0.3">
      <c r="A49" s="19" t="s">
        <v>105</v>
      </c>
      <c r="B49" s="3">
        <v>2014</v>
      </c>
      <c r="C49" s="122">
        <v>1673.787</v>
      </c>
      <c r="D49" s="121">
        <v>2934.3770000000004</v>
      </c>
      <c r="E49" s="119">
        <v>0</v>
      </c>
    </row>
    <row r="50" spans="1:5" x14ac:dyDescent="0.3">
      <c r="A50" s="19" t="s">
        <v>105</v>
      </c>
      <c r="B50" s="3">
        <v>2015</v>
      </c>
      <c r="C50" s="122">
        <f>897.505+632.916</f>
        <v>1530.421</v>
      </c>
      <c r="D50" s="121">
        <v>2102.3429999999998</v>
      </c>
      <c r="E50" s="119">
        <v>0</v>
      </c>
    </row>
    <row r="51" spans="1:5" x14ac:dyDescent="0.3">
      <c r="A51" s="21" t="s">
        <v>105</v>
      </c>
      <c r="B51" s="94">
        <v>2016</v>
      </c>
      <c r="C51" s="125">
        <v>1384.4480000000001</v>
      </c>
      <c r="D51" s="124">
        <f>3285.987-1067-1046</f>
        <v>1172.9870000000001</v>
      </c>
      <c r="E51" s="119">
        <v>0</v>
      </c>
    </row>
    <row r="52" spans="1:5" x14ac:dyDescent="0.3">
      <c r="A52" s="20" t="s">
        <v>21</v>
      </c>
      <c r="B52" s="3">
        <v>2007</v>
      </c>
      <c r="C52" s="117">
        <v>0</v>
      </c>
      <c r="D52" s="118">
        <v>0</v>
      </c>
      <c r="E52" s="119">
        <v>0</v>
      </c>
    </row>
    <row r="53" spans="1:5" x14ac:dyDescent="0.3">
      <c r="A53" s="20" t="s">
        <v>21</v>
      </c>
      <c r="B53" s="3">
        <v>2008</v>
      </c>
      <c r="C53" s="117">
        <v>0</v>
      </c>
      <c r="D53" s="118">
        <v>0</v>
      </c>
      <c r="E53" s="119">
        <v>2854</v>
      </c>
    </row>
    <row r="54" spans="1:5" x14ac:dyDescent="0.3">
      <c r="A54" s="20" t="s">
        <v>21</v>
      </c>
      <c r="B54" s="3">
        <v>2009</v>
      </c>
      <c r="C54" s="120">
        <v>12479</v>
      </c>
      <c r="D54" s="118">
        <f>8668+2170</f>
        <v>10838</v>
      </c>
      <c r="E54" s="119">
        <v>2832</v>
      </c>
    </row>
    <row r="55" spans="1:5" x14ac:dyDescent="0.3">
      <c r="A55" s="20" t="s">
        <v>21</v>
      </c>
      <c r="B55" s="3">
        <v>2010</v>
      </c>
      <c r="C55" s="120">
        <v>14013</v>
      </c>
      <c r="D55" s="118">
        <f>8316+2638</f>
        <v>10954</v>
      </c>
      <c r="E55" s="119">
        <v>3175</v>
      </c>
    </row>
    <row r="56" spans="1:5" x14ac:dyDescent="0.3">
      <c r="A56" s="20" t="s">
        <v>21</v>
      </c>
      <c r="B56" s="3">
        <v>2011</v>
      </c>
      <c r="C56" s="120">
        <v>13953</v>
      </c>
      <c r="D56" s="118">
        <f>11272+2081</f>
        <v>13353</v>
      </c>
      <c r="E56" s="119">
        <v>3632</v>
      </c>
    </row>
    <row r="57" spans="1:5" x14ac:dyDescent="0.3">
      <c r="A57" s="20" t="s">
        <v>21</v>
      </c>
      <c r="B57" s="4">
        <v>2012</v>
      </c>
      <c r="C57" s="120">
        <v>13458</v>
      </c>
      <c r="D57" s="118">
        <f>15162+2660</f>
        <v>17822</v>
      </c>
      <c r="E57" s="119">
        <v>3278</v>
      </c>
    </row>
    <row r="58" spans="1:5" x14ac:dyDescent="0.3">
      <c r="A58" s="20" t="s">
        <v>21</v>
      </c>
      <c r="B58" s="3">
        <v>2013</v>
      </c>
      <c r="C58" s="120">
        <v>15856</v>
      </c>
      <c r="D58" s="121">
        <f>16900+3919</f>
        <v>20819</v>
      </c>
      <c r="E58" s="119">
        <v>3334</v>
      </c>
    </row>
    <row r="59" spans="1:5" x14ac:dyDescent="0.3">
      <c r="A59" s="20" t="s">
        <v>21</v>
      </c>
      <c r="B59" s="3">
        <v>2014</v>
      </c>
      <c r="C59" s="122">
        <v>16412</v>
      </c>
      <c r="D59" s="121">
        <f>16529+3779</f>
        <v>20308</v>
      </c>
      <c r="E59" s="119">
        <v>3525</v>
      </c>
    </row>
    <row r="60" spans="1:5" x14ac:dyDescent="0.3">
      <c r="A60" s="19" t="s">
        <v>21</v>
      </c>
      <c r="B60" s="3">
        <v>2015</v>
      </c>
      <c r="C60" s="122">
        <v>7572</v>
      </c>
      <c r="D60" s="121">
        <f>9898+1582</f>
        <v>11480</v>
      </c>
      <c r="E60" s="119">
        <v>3664</v>
      </c>
    </row>
    <row r="61" spans="1:5" x14ac:dyDescent="0.3">
      <c r="A61" s="21" t="s">
        <v>21</v>
      </c>
      <c r="B61" s="94">
        <v>2016</v>
      </c>
      <c r="C61" s="123">
        <v>4403</v>
      </c>
      <c r="D61" s="124">
        <f>3827+715</f>
        <v>4542</v>
      </c>
      <c r="E61" s="119">
        <v>1253</v>
      </c>
    </row>
    <row r="62" spans="1:5" x14ac:dyDescent="0.3">
      <c r="A62" s="20" t="s">
        <v>106</v>
      </c>
      <c r="B62" s="3">
        <v>2007</v>
      </c>
      <c r="C62" s="122">
        <v>0</v>
      </c>
      <c r="D62" s="121">
        <v>0</v>
      </c>
      <c r="E62" s="119">
        <v>0</v>
      </c>
    </row>
    <row r="63" spans="1:5" x14ac:dyDescent="0.3">
      <c r="A63" s="20" t="s">
        <v>106</v>
      </c>
      <c r="B63" s="3">
        <v>2008</v>
      </c>
      <c r="C63" s="122">
        <v>0</v>
      </c>
      <c r="D63" s="121">
        <v>0</v>
      </c>
      <c r="E63" s="119">
        <v>0</v>
      </c>
    </row>
    <row r="64" spans="1:5" x14ac:dyDescent="0.3">
      <c r="A64" s="20" t="s">
        <v>106</v>
      </c>
      <c r="B64" s="3">
        <v>2009</v>
      </c>
      <c r="C64" s="122">
        <v>372.98599999999999</v>
      </c>
      <c r="D64" s="121">
        <v>432.03699999999998</v>
      </c>
      <c r="E64" s="119">
        <v>0</v>
      </c>
    </row>
    <row r="65" spans="1:5" x14ac:dyDescent="0.3">
      <c r="A65" s="20" t="s">
        <v>106</v>
      </c>
      <c r="B65" s="3">
        <v>2010</v>
      </c>
      <c r="C65" s="122">
        <v>653.16700000000003</v>
      </c>
      <c r="D65" s="121">
        <v>1196.828</v>
      </c>
      <c r="E65" s="119">
        <v>0</v>
      </c>
    </row>
    <row r="66" spans="1:5" x14ac:dyDescent="0.3">
      <c r="A66" s="20" t="s">
        <v>106</v>
      </c>
      <c r="B66" s="3">
        <v>2011</v>
      </c>
      <c r="C66" s="122">
        <v>1067.915</v>
      </c>
      <c r="D66" s="121">
        <v>2156.0949999999998</v>
      </c>
      <c r="E66" s="119">
        <v>0</v>
      </c>
    </row>
    <row r="67" spans="1:5" x14ac:dyDescent="0.3">
      <c r="A67" s="20" t="s">
        <v>106</v>
      </c>
      <c r="B67" s="4">
        <v>2012</v>
      </c>
      <c r="C67" s="122">
        <v>1632.0650000000001</v>
      </c>
      <c r="D67" s="121">
        <v>4313.0569999999998</v>
      </c>
      <c r="E67" s="119">
        <v>0</v>
      </c>
    </row>
    <row r="68" spans="1:5" x14ac:dyDescent="0.3">
      <c r="A68" s="20" t="s">
        <v>106</v>
      </c>
      <c r="B68" s="3">
        <v>2013</v>
      </c>
      <c r="C68" s="122">
        <v>2563.2950000000001</v>
      </c>
      <c r="D68" s="121">
        <v>3792.6550000000002</v>
      </c>
      <c r="E68" s="119">
        <v>0</v>
      </c>
    </row>
    <row r="69" spans="1:5" x14ac:dyDescent="0.3">
      <c r="A69" s="20" t="s">
        <v>106</v>
      </c>
      <c r="B69" s="3">
        <v>2014</v>
      </c>
      <c r="C69" s="122">
        <v>3355.7150000000001</v>
      </c>
      <c r="D69" s="121">
        <v>4972.2</v>
      </c>
      <c r="E69" s="119">
        <v>0</v>
      </c>
    </row>
    <row r="70" spans="1:5" x14ac:dyDescent="0.3">
      <c r="A70" s="19" t="s">
        <v>106</v>
      </c>
      <c r="B70" s="3">
        <v>2015</v>
      </c>
      <c r="C70" s="122">
        <v>1857.1010000000001</v>
      </c>
      <c r="D70" s="121">
        <v>2536.3020000000001</v>
      </c>
      <c r="E70" s="119">
        <v>0</v>
      </c>
    </row>
    <row r="71" spans="1:5" x14ac:dyDescent="0.3">
      <c r="A71" s="21" t="s">
        <v>106</v>
      </c>
      <c r="B71" s="94">
        <v>2016</v>
      </c>
      <c r="C71" s="123">
        <v>1125.9190000000001</v>
      </c>
      <c r="D71" s="124">
        <f>1104.473+9.6</f>
        <v>1114.0729999999999</v>
      </c>
      <c r="E71" s="119">
        <v>0</v>
      </c>
    </row>
    <row r="72" spans="1:5" x14ac:dyDescent="0.3">
      <c r="A72" s="19" t="s">
        <v>16</v>
      </c>
      <c r="B72" s="3">
        <v>2007</v>
      </c>
      <c r="C72" s="117">
        <v>0</v>
      </c>
      <c r="D72" s="118">
        <v>0</v>
      </c>
      <c r="E72" s="119">
        <v>0</v>
      </c>
    </row>
    <row r="73" spans="1:5" x14ac:dyDescent="0.3">
      <c r="A73" s="19" t="s">
        <v>16</v>
      </c>
      <c r="B73" s="3">
        <v>2008</v>
      </c>
      <c r="C73" s="117">
        <v>0</v>
      </c>
      <c r="D73" s="118">
        <v>0</v>
      </c>
      <c r="E73" s="119">
        <v>289</v>
      </c>
    </row>
    <row r="74" spans="1:5" x14ac:dyDescent="0.3">
      <c r="A74" s="19" t="s">
        <v>16</v>
      </c>
      <c r="B74" s="3">
        <v>2009</v>
      </c>
      <c r="C74" s="120">
        <f>4737</f>
        <v>4737</v>
      </c>
      <c r="D74" s="118">
        <v>4087</v>
      </c>
      <c r="E74" s="119">
        <v>284</v>
      </c>
    </row>
    <row r="75" spans="1:5" x14ac:dyDescent="0.3">
      <c r="A75" s="19" t="s">
        <v>16</v>
      </c>
      <c r="B75" s="3">
        <v>2010</v>
      </c>
      <c r="C75" s="120">
        <f>5478</f>
        <v>5478</v>
      </c>
      <c r="D75" s="118">
        <v>6544</v>
      </c>
      <c r="E75" s="119">
        <v>281</v>
      </c>
    </row>
    <row r="76" spans="1:5" x14ac:dyDescent="0.3">
      <c r="A76" s="19" t="s">
        <v>16</v>
      </c>
      <c r="B76" s="3">
        <v>2011</v>
      </c>
      <c r="C76" s="120">
        <f>6224</f>
        <v>6224</v>
      </c>
      <c r="D76" s="118">
        <v>6943</v>
      </c>
      <c r="E76" s="119">
        <v>278</v>
      </c>
    </row>
    <row r="77" spans="1:5" x14ac:dyDescent="0.3">
      <c r="A77" s="20" t="s">
        <v>16</v>
      </c>
      <c r="B77" s="4">
        <v>2012</v>
      </c>
      <c r="C77" s="120">
        <f>4956</f>
        <v>4956</v>
      </c>
      <c r="D77" s="118">
        <v>8005</v>
      </c>
      <c r="E77" s="119">
        <v>324</v>
      </c>
    </row>
    <row r="78" spans="1:5" x14ac:dyDescent="0.3">
      <c r="A78" s="19" t="s">
        <v>16</v>
      </c>
      <c r="B78" s="3">
        <v>2013</v>
      </c>
      <c r="C78" s="120">
        <f>5436</f>
        <v>5436</v>
      </c>
      <c r="D78" s="121">
        <v>5922</v>
      </c>
      <c r="E78" s="119">
        <v>348</v>
      </c>
    </row>
    <row r="79" spans="1:5" x14ac:dyDescent="0.3">
      <c r="A79" s="19" t="s">
        <v>16</v>
      </c>
      <c r="B79" s="3">
        <v>2014</v>
      </c>
      <c r="C79" s="122">
        <v>6021</v>
      </c>
      <c r="D79" s="121">
        <v>12172</v>
      </c>
      <c r="E79" s="119">
        <v>386</v>
      </c>
    </row>
    <row r="80" spans="1:5" x14ac:dyDescent="0.3">
      <c r="A80" s="19" t="s">
        <v>16</v>
      </c>
      <c r="B80" s="3">
        <v>2015</v>
      </c>
      <c r="C80" s="122">
        <v>5373</v>
      </c>
      <c r="D80" s="121">
        <v>5170</v>
      </c>
      <c r="E80" s="119">
        <v>396</v>
      </c>
    </row>
    <row r="81" spans="1:5" x14ac:dyDescent="0.3">
      <c r="A81" s="21" t="s">
        <v>16</v>
      </c>
      <c r="B81" s="94">
        <v>2016</v>
      </c>
      <c r="C81" s="123">
        <v>1746</v>
      </c>
      <c r="D81" s="124">
        <v>3132</v>
      </c>
      <c r="E81" s="119">
        <v>221</v>
      </c>
    </row>
    <row r="82" spans="1:5" x14ac:dyDescent="0.3">
      <c r="A82" s="19" t="s">
        <v>2</v>
      </c>
      <c r="B82" s="3">
        <v>2007</v>
      </c>
      <c r="C82" s="117">
        <v>0</v>
      </c>
      <c r="D82" s="118">
        <v>0</v>
      </c>
      <c r="E82" s="119">
        <v>0</v>
      </c>
    </row>
    <row r="83" spans="1:5" x14ac:dyDescent="0.3">
      <c r="A83" s="19" t="s">
        <v>2</v>
      </c>
      <c r="B83" s="3">
        <v>2008</v>
      </c>
      <c r="C83" s="117">
        <v>0</v>
      </c>
      <c r="D83" s="118">
        <v>0</v>
      </c>
      <c r="E83" s="119">
        <v>0</v>
      </c>
    </row>
    <row r="84" spans="1:5" x14ac:dyDescent="0.3">
      <c r="A84" s="19" t="s">
        <v>2</v>
      </c>
      <c r="B84" s="3">
        <v>2009</v>
      </c>
      <c r="C84" s="120">
        <f>7873</f>
        <v>7873</v>
      </c>
      <c r="D84" s="118">
        <v>4810</v>
      </c>
      <c r="E84" s="119">
        <v>1051</v>
      </c>
    </row>
    <row r="85" spans="1:5" x14ac:dyDescent="0.3">
      <c r="A85" s="19" t="s">
        <v>2</v>
      </c>
      <c r="B85" s="3">
        <v>2010</v>
      </c>
      <c r="C85" s="120">
        <f>2329</f>
        <v>2329</v>
      </c>
      <c r="D85" s="118">
        <v>5434</v>
      </c>
      <c r="E85" s="119">
        <v>590</v>
      </c>
    </row>
    <row r="86" spans="1:5" x14ac:dyDescent="0.3">
      <c r="A86" s="19" t="s">
        <v>2</v>
      </c>
      <c r="B86" s="3">
        <v>2011</v>
      </c>
      <c r="C86" s="120">
        <f>3927</f>
        <v>3927</v>
      </c>
      <c r="D86" s="118">
        <v>4960</v>
      </c>
      <c r="E86" s="119">
        <v>588</v>
      </c>
    </row>
    <row r="87" spans="1:5" x14ac:dyDescent="0.3">
      <c r="A87" s="20" t="s">
        <v>2</v>
      </c>
      <c r="B87" s="4">
        <v>2012</v>
      </c>
      <c r="C87" s="120">
        <f>3107</f>
        <v>3107</v>
      </c>
      <c r="D87" s="118">
        <v>3673</v>
      </c>
      <c r="E87" s="119">
        <v>588</v>
      </c>
    </row>
    <row r="88" spans="1:5" x14ac:dyDescent="0.3">
      <c r="A88" s="19" t="s">
        <v>2</v>
      </c>
      <c r="B88" s="3">
        <v>2013</v>
      </c>
      <c r="C88" s="120">
        <f>2289</f>
        <v>2289</v>
      </c>
      <c r="D88" s="121">
        <v>2832</v>
      </c>
      <c r="E88" s="119">
        <v>401</v>
      </c>
    </row>
    <row r="89" spans="1:5" x14ac:dyDescent="0.3">
      <c r="A89" s="19" t="s">
        <v>2</v>
      </c>
      <c r="B89" s="3">
        <v>2014</v>
      </c>
      <c r="C89" s="122">
        <f>2667</f>
        <v>2667</v>
      </c>
      <c r="D89" s="121">
        <v>12992</v>
      </c>
      <c r="E89" s="119">
        <v>202</v>
      </c>
    </row>
    <row r="90" spans="1:5" x14ac:dyDescent="0.3">
      <c r="A90" s="19" t="s">
        <v>2</v>
      </c>
      <c r="B90" s="3">
        <v>2015</v>
      </c>
      <c r="C90" s="122">
        <v>1681</v>
      </c>
      <c r="D90" s="121">
        <v>2263</v>
      </c>
      <c r="E90" s="119">
        <v>152</v>
      </c>
    </row>
    <row r="91" spans="1:5" x14ac:dyDescent="0.3">
      <c r="A91" s="21" t="s">
        <v>2</v>
      </c>
      <c r="B91" s="94">
        <v>2016</v>
      </c>
      <c r="C91" s="123">
        <v>625</v>
      </c>
      <c r="D91" s="124">
        <v>1339</v>
      </c>
      <c r="E91" s="119">
        <v>51</v>
      </c>
    </row>
    <row r="92" spans="1:5" x14ac:dyDescent="0.3">
      <c r="A92" s="19" t="s">
        <v>3</v>
      </c>
      <c r="B92" s="3">
        <v>2007</v>
      </c>
      <c r="C92" s="117">
        <v>0</v>
      </c>
      <c r="D92" s="118">
        <v>0</v>
      </c>
      <c r="E92" s="119">
        <v>0</v>
      </c>
    </row>
    <row r="93" spans="1:5" x14ac:dyDescent="0.3">
      <c r="A93" s="19" t="s">
        <v>3</v>
      </c>
      <c r="B93" s="3">
        <v>2008</v>
      </c>
      <c r="C93" s="117">
        <v>0</v>
      </c>
      <c r="D93" s="118">
        <v>0</v>
      </c>
      <c r="E93" s="119">
        <v>115</v>
      </c>
    </row>
    <row r="94" spans="1:5" x14ac:dyDescent="0.3">
      <c r="A94" s="19" t="s">
        <v>3</v>
      </c>
      <c r="B94" s="3">
        <v>2009</v>
      </c>
      <c r="C94" s="120">
        <f>2922.439</f>
        <v>2922.4389999999999</v>
      </c>
      <c r="D94" s="118">
        <f>3907.498-60-18-6</f>
        <v>3823.498</v>
      </c>
      <c r="E94" s="119">
        <v>142</v>
      </c>
    </row>
    <row r="95" spans="1:5" x14ac:dyDescent="0.3">
      <c r="A95" s="19" t="s">
        <v>3</v>
      </c>
      <c r="B95" s="3">
        <v>2010</v>
      </c>
      <c r="C95" s="120">
        <f>2708.602</f>
        <v>2708.6019999999999</v>
      </c>
      <c r="D95" s="118">
        <f>5458.505-71-2-2+3</f>
        <v>5386.5050000000001</v>
      </c>
      <c r="E95" s="119">
        <v>153</v>
      </c>
    </row>
    <row r="96" spans="1:5" x14ac:dyDescent="0.3">
      <c r="A96" s="19" t="s">
        <v>3</v>
      </c>
      <c r="B96" s="3">
        <v>2011</v>
      </c>
      <c r="C96" s="120">
        <f>4578.41</f>
        <v>4578.41</v>
      </c>
      <c r="D96" s="118">
        <f>6599.164-52-70-7-4</f>
        <v>6466.1639999999998</v>
      </c>
      <c r="E96" s="119">
        <v>167</v>
      </c>
    </row>
    <row r="97" spans="1:5" x14ac:dyDescent="0.3">
      <c r="A97" s="20" t="s">
        <v>3</v>
      </c>
      <c r="B97" s="4">
        <v>2012</v>
      </c>
      <c r="C97" s="120">
        <f>5236.777</f>
        <v>5236.777</v>
      </c>
      <c r="D97" s="118">
        <f>7068.19-80-33-2-12</f>
        <v>6941.19</v>
      </c>
      <c r="E97" s="119">
        <v>181</v>
      </c>
    </row>
    <row r="98" spans="1:5" x14ac:dyDescent="0.3">
      <c r="A98" s="19" t="s">
        <v>3</v>
      </c>
      <c r="B98" s="3">
        <v>2013</v>
      </c>
      <c r="C98" s="120">
        <f>7329.414</f>
        <v>7329.4139999999998</v>
      </c>
      <c r="D98" s="121">
        <f>6997.891-84-13-37</f>
        <v>6863.8909999999996</v>
      </c>
      <c r="E98" s="119">
        <v>199</v>
      </c>
    </row>
    <row r="99" spans="1:5" x14ac:dyDescent="0.3">
      <c r="A99" s="19" t="s">
        <v>3</v>
      </c>
      <c r="B99" s="3">
        <v>2014</v>
      </c>
      <c r="C99" s="122">
        <f>8649.155</f>
        <v>8649.1550000000007</v>
      </c>
      <c r="D99" s="121">
        <f>7904.769-149-31-2</f>
        <v>7722.7690000000002</v>
      </c>
      <c r="E99" s="119">
        <v>280</v>
      </c>
    </row>
    <row r="100" spans="1:5" x14ac:dyDescent="0.3">
      <c r="A100" s="19" t="s">
        <v>3</v>
      </c>
      <c r="B100" s="3">
        <v>2015</v>
      </c>
      <c r="C100" s="122">
        <v>3595.165</v>
      </c>
      <c r="D100" s="121">
        <f>4928.283-32-15-6</f>
        <v>4875.2830000000004</v>
      </c>
      <c r="E100" s="119">
        <v>367</v>
      </c>
    </row>
    <row r="101" spans="1:5" x14ac:dyDescent="0.3">
      <c r="A101" s="21" t="s">
        <v>3</v>
      </c>
      <c r="B101" s="94">
        <v>2016</v>
      </c>
      <c r="C101" s="123">
        <v>2359.0630000000001</v>
      </c>
      <c r="D101" s="124">
        <f>6445.284-25+3+42</f>
        <v>6465.2839999999997</v>
      </c>
      <c r="E101" s="119">
        <v>373</v>
      </c>
    </row>
    <row r="102" spans="1:5" x14ac:dyDescent="0.3">
      <c r="A102" s="19" t="s">
        <v>112</v>
      </c>
      <c r="B102" s="3">
        <v>2007</v>
      </c>
      <c r="C102" s="122">
        <v>0</v>
      </c>
      <c r="D102" s="121">
        <v>0</v>
      </c>
      <c r="E102" s="119">
        <v>0</v>
      </c>
    </row>
    <row r="103" spans="1:5" x14ac:dyDescent="0.3">
      <c r="A103" s="19" t="s">
        <v>112</v>
      </c>
      <c r="B103" s="3">
        <v>2008</v>
      </c>
      <c r="C103" s="122">
        <v>0</v>
      </c>
      <c r="D103" s="121">
        <v>0</v>
      </c>
      <c r="E103" s="119">
        <v>130</v>
      </c>
    </row>
    <row r="104" spans="1:5" x14ac:dyDescent="0.3">
      <c r="A104" s="19" t="s">
        <v>112</v>
      </c>
      <c r="B104" s="3">
        <v>2009</v>
      </c>
      <c r="C104" s="122">
        <v>3046</v>
      </c>
      <c r="D104" s="121">
        <f>188+74+938+1918</f>
        <v>3118</v>
      </c>
      <c r="E104" s="119">
        <v>131</v>
      </c>
    </row>
    <row r="105" spans="1:5" x14ac:dyDescent="0.3">
      <c r="A105" s="19" t="s">
        <v>112</v>
      </c>
      <c r="B105" s="3">
        <v>2010</v>
      </c>
      <c r="C105" s="122">
        <v>4530</v>
      </c>
      <c r="D105" s="121">
        <f>1887+1015+915+2654</f>
        <v>6471</v>
      </c>
      <c r="E105" s="119">
        <v>131</v>
      </c>
    </row>
    <row r="106" spans="1:5" x14ac:dyDescent="0.3">
      <c r="A106" s="19" t="s">
        <v>112</v>
      </c>
      <c r="B106" s="3">
        <v>2011</v>
      </c>
      <c r="C106" s="122">
        <v>4984</v>
      </c>
      <c r="D106" s="121">
        <f>1244+122+1325+5645</f>
        <v>8336</v>
      </c>
      <c r="E106" s="119">
        <v>136</v>
      </c>
    </row>
    <row r="107" spans="1:5" x14ac:dyDescent="0.3">
      <c r="A107" s="19" t="s">
        <v>112</v>
      </c>
      <c r="B107" s="4">
        <v>2012</v>
      </c>
      <c r="C107" s="122">
        <v>5660</v>
      </c>
      <c r="D107" s="121">
        <f>267+1089+7505</f>
        <v>8861</v>
      </c>
      <c r="E107" s="119">
        <v>171</v>
      </c>
    </row>
    <row r="108" spans="1:5" x14ac:dyDescent="0.3">
      <c r="A108" s="19" t="s">
        <v>112</v>
      </c>
      <c r="B108" s="3">
        <v>2013</v>
      </c>
      <c r="C108" s="122">
        <v>5098</v>
      </c>
      <c r="D108" s="121">
        <f>56+1044+5666</f>
        <v>6766</v>
      </c>
      <c r="E108" s="119">
        <v>235</v>
      </c>
    </row>
    <row r="109" spans="1:5" x14ac:dyDescent="0.3">
      <c r="A109" s="19" t="s">
        <v>112</v>
      </c>
      <c r="B109" s="3">
        <v>2014</v>
      </c>
      <c r="C109" s="122">
        <v>4457</v>
      </c>
      <c r="D109" s="121">
        <f>88+763+4727</f>
        <v>5578</v>
      </c>
      <c r="E109" s="119">
        <v>303</v>
      </c>
    </row>
    <row r="110" spans="1:5" x14ac:dyDescent="0.3">
      <c r="A110" s="19" t="s">
        <v>112</v>
      </c>
      <c r="B110" s="3">
        <v>2015</v>
      </c>
      <c r="C110" s="122">
        <v>1981</v>
      </c>
      <c r="D110" s="121">
        <f>22+622+3549</f>
        <v>4193</v>
      </c>
      <c r="E110" s="119">
        <v>287</v>
      </c>
    </row>
    <row r="111" spans="1:5" x14ac:dyDescent="0.3">
      <c r="A111" s="21" t="s">
        <v>112</v>
      </c>
      <c r="B111" s="94">
        <v>2016</v>
      </c>
      <c r="C111" s="123">
        <v>795</v>
      </c>
      <c r="D111" s="124">
        <f>11+491+1188</f>
        <v>1690</v>
      </c>
      <c r="E111" s="119">
        <v>350</v>
      </c>
    </row>
    <row r="112" spans="1:5" x14ac:dyDescent="0.3">
      <c r="A112" s="19" t="s">
        <v>94</v>
      </c>
      <c r="B112" s="3">
        <v>2007</v>
      </c>
      <c r="C112" s="117">
        <v>0</v>
      </c>
      <c r="D112" s="118">
        <v>0</v>
      </c>
      <c r="E112" s="119">
        <v>0</v>
      </c>
    </row>
    <row r="113" spans="1:5" x14ac:dyDescent="0.3">
      <c r="A113" s="19" t="s">
        <v>94</v>
      </c>
      <c r="B113" s="3">
        <v>2008</v>
      </c>
      <c r="C113" s="117">
        <v>0</v>
      </c>
      <c r="D113" s="118">
        <v>0</v>
      </c>
      <c r="E113" s="119">
        <v>681</v>
      </c>
    </row>
    <row r="114" spans="1:5" x14ac:dyDescent="0.3">
      <c r="A114" s="19" t="s">
        <v>94</v>
      </c>
      <c r="B114" s="3">
        <v>2009</v>
      </c>
      <c r="C114" s="120">
        <v>5268</v>
      </c>
      <c r="D114" s="118">
        <v>3514</v>
      </c>
      <c r="E114" s="119">
        <v>679</v>
      </c>
    </row>
    <row r="115" spans="1:5" x14ac:dyDescent="0.3">
      <c r="A115" s="19" t="s">
        <v>94</v>
      </c>
      <c r="B115" s="3">
        <v>2010</v>
      </c>
      <c r="C115" s="120">
        <v>5870</v>
      </c>
      <c r="D115" s="118">
        <v>3812</v>
      </c>
      <c r="E115" s="119">
        <v>704</v>
      </c>
    </row>
    <row r="116" spans="1:5" x14ac:dyDescent="0.3">
      <c r="A116" s="19" t="s">
        <v>94</v>
      </c>
      <c r="B116" s="3">
        <v>2011</v>
      </c>
      <c r="C116" s="120">
        <v>6524</v>
      </c>
      <c r="D116" s="118">
        <v>7140</v>
      </c>
      <c r="E116" s="119">
        <v>567</v>
      </c>
    </row>
    <row r="117" spans="1:5" x14ac:dyDescent="0.3">
      <c r="A117" s="20" t="s">
        <v>94</v>
      </c>
      <c r="B117" s="4">
        <v>2012</v>
      </c>
      <c r="C117" s="120">
        <v>4017</v>
      </c>
      <c r="D117" s="118">
        <v>6647</v>
      </c>
      <c r="E117" s="119">
        <v>480</v>
      </c>
    </row>
    <row r="118" spans="1:5" x14ac:dyDescent="0.3">
      <c r="A118" s="19" t="s">
        <v>94</v>
      </c>
      <c r="B118" s="3">
        <v>2013</v>
      </c>
      <c r="C118" s="120">
        <v>5270</v>
      </c>
      <c r="D118" s="121">
        <v>5451</v>
      </c>
      <c r="E118" s="119">
        <v>508</v>
      </c>
    </row>
    <row r="119" spans="1:5" x14ac:dyDescent="0.3">
      <c r="A119" s="19" t="s">
        <v>94</v>
      </c>
      <c r="B119" s="3">
        <v>2014</v>
      </c>
      <c r="C119" s="122">
        <v>5487</v>
      </c>
      <c r="D119" s="121">
        <v>6105</v>
      </c>
      <c r="E119" s="119">
        <v>543</v>
      </c>
    </row>
    <row r="120" spans="1:5" x14ac:dyDescent="0.3">
      <c r="A120" s="19" t="s">
        <v>94</v>
      </c>
      <c r="B120" s="3">
        <v>2015</v>
      </c>
      <c r="C120" s="122">
        <v>1565</v>
      </c>
      <c r="D120" s="121">
        <v>2845</v>
      </c>
      <c r="E120" s="119">
        <v>460</v>
      </c>
    </row>
    <row r="121" spans="1:5" x14ac:dyDescent="0.3">
      <c r="A121" s="21" t="s">
        <v>94</v>
      </c>
      <c r="B121" s="94">
        <v>2016</v>
      </c>
      <c r="C121" s="123">
        <v>1073</v>
      </c>
      <c r="D121" s="124">
        <v>2113</v>
      </c>
      <c r="E121" s="119">
        <v>162</v>
      </c>
    </row>
    <row r="122" spans="1:5" x14ac:dyDescent="0.3">
      <c r="A122" s="19" t="s">
        <v>17</v>
      </c>
      <c r="B122" s="3">
        <v>2007</v>
      </c>
      <c r="C122" s="117">
        <v>0</v>
      </c>
      <c r="D122" s="118">
        <v>0</v>
      </c>
      <c r="E122" s="119">
        <v>0</v>
      </c>
    </row>
    <row r="123" spans="1:5" x14ac:dyDescent="0.3">
      <c r="A123" s="19" t="s">
        <v>17</v>
      </c>
      <c r="B123" s="3">
        <v>2008</v>
      </c>
      <c r="C123" s="117">
        <v>0</v>
      </c>
      <c r="D123" s="118">
        <v>0</v>
      </c>
      <c r="E123" s="119">
        <v>940</v>
      </c>
    </row>
    <row r="124" spans="1:5" x14ac:dyDescent="0.3">
      <c r="A124" s="19" t="s">
        <v>17</v>
      </c>
      <c r="B124" s="3">
        <v>2009</v>
      </c>
      <c r="C124" s="120">
        <v>5856</v>
      </c>
      <c r="D124" s="118">
        <v>3463</v>
      </c>
      <c r="E124" s="119">
        <v>1063</v>
      </c>
    </row>
    <row r="125" spans="1:5" x14ac:dyDescent="0.3">
      <c r="A125" s="19" t="s">
        <v>17</v>
      </c>
      <c r="B125" s="3">
        <v>2010</v>
      </c>
      <c r="C125" s="120">
        <v>9356</v>
      </c>
      <c r="D125" s="118">
        <v>7836</v>
      </c>
      <c r="E125" s="119">
        <v>1159</v>
      </c>
    </row>
    <row r="126" spans="1:5" x14ac:dyDescent="0.3">
      <c r="A126" s="19" t="s">
        <v>17</v>
      </c>
      <c r="B126" s="3">
        <v>2011</v>
      </c>
      <c r="C126" s="120">
        <v>12306</v>
      </c>
      <c r="D126" s="118">
        <v>10857</v>
      </c>
      <c r="E126" s="119">
        <v>1436</v>
      </c>
    </row>
    <row r="127" spans="1:5" x14ac:dyDescent="0.3">
      <c r="A127" s="20" t="s">
        <v>17</v>
      </c>
      <c r="B127" s="4">
        <v>2012</v>
      </c>
      <c r="C127" s="120">
        <v>9050</v>
      </c>
      <c r="D127" s="118">
        <v>8014</v>
      </c>
      <c r="E127" s="119">
        <v>2128</v>
      </c>
    </row>
    <row r="128" spans="1:5" x14ac:dyDescent="0.3">
      <c r="A128" s="19" t="s">
        <v>17</v>
      </c>
      <c r="B128" s="3">
        <v>2013</v>
      </c>
      <c r="C128" s="120">
        <v>10229</v>
      </c>
      <c r="D128" s="121">
        <v>5982</v>
      </c>
      <c r="E128" s="119">
        <v>1553</v>
      </c>
    </row>
    <row r="129" spans="1:5" x14ac:dyDescent="0.3">
      <c r="A129" s="19" t="s">
        <v>17</v>
      </c>
      <c r="B129" s="3">
        <v>2014</v>
      </c>
      <c r="C129" s="122">
        <v>8871</v>
      </c>
      <c r="D129" s="121">
        <v>8284</v>
      </c>
      <c r="E129" s="119">
        <v>2210</v>
      </c>
    </row>
    <row r="130" spans="1:5" x14ac:dyDescent="0.3">
      <c r="A130" s="19" t="s">
        <v>17</v>
      </c>
      <c r="B130" s="3">
        <v>2015</v>
      </c>
      <c r="C130" s="122">
        <v>3254</v>
      </c>
      <c r="D130" s="121">
        <v>4762</v>
      </c>
      <c r="E130" s="119">
        <v>2264</v>
      </c>
    </row>
    <row r="131" spans="1:5" x14ac:dyDescent="0.3">
      <c r="A131" s="21" t="s">
        <v>17</v>
      </c>
      <c r="B131" s="94">
        <v>2016</v>
      </c>
      <c r="C131" s="123">
        <v>2519</v>
      </c>
      <c r="D131" s="124">
        <v>4662</v>
      </c>
      <c r="E131" s="119">
        <v>2309</v>
      </c>
    </row>
    <row r="132" spans="1:5" x14ac:dyDescent="0.3">
      <c r="A132" s="19" t="s">
        <v>18</v>
      </c>
      <c r="B132" s="3">
        <v>2007</v>
      </c>
      <c r="C132" s="117">
        <v>0</v>
      </c>
      <c r="D132" s="118">
        <v>0</v>
      </c>
      <c r="E132" s="119">
        <v>0</v>
      </c>
    </row>
    <row r="133" spans="1:5" x14ac:dyDescent="0.3">
      <c r="A133" s="19" t="s">
        <v>18</v>
      </c>
      <c r="B133" s="3">
        <v>2008</v>
      </c>
      <c r="C133" s="117">
        <v>0</v>
      </c>
      <c r="D133" s="118">
        <v>0</v>
      </c>
      <c r="E133" s="119">
        <v>36</v>
      </c>
    </row>
    <row r="134" spans="1:5" x14ac:dyDescent="0.3">
      <c r="A134" s="19" t="s">
        <v>18</v>
      </c>
      <c r="B134" s="3">
        <v>2009</v>
      </c>
      <c r="C134" s="120">
        <f>543.059</f>
        <v>543.05899999999997</v>
      </c>
      <c r="D134" s="118">
        <v>414.20600000000002</v>
      </c>
      <c r="E134" s="119">
        <v>9</v>
      </c>
    </row>
    <row r="135" spans="1:5" x14ac:dyDescent="0.3">
      <c r="A135" s="19" t="s">
        <v>18</v>
      </c>
      <c r="B135" s="3">
        <v>2010</v>
      </c>
      <c r="C135" s="120">
        <f>1285.023</f>
        <v>1285.0229999999999</v>
      </c>
      <c r="D135" s="118">
        <v>1092.2339999999999</v>
      </c>
      <c r="E135" s="119">
        <v>9</v>
      </c>
    </row>
    <row r="136" spans="1:5" x14ac:dyDescent="0.3">
      <c r="A136" s="19" t="s">
        <v>18</v>
      </c>
      <c r="B136" s="3">
        <v>2011</v>
      </c>
      <c r="C136" s="120">
        <f>1529.714</f>
        <v>1529.7139999999999</v>
      </c>
      <c r="D136" s="118">
        <v>2153.9840000000004</v>
      </c>
      <c r="E136" s="119">
        <v>10</v>
      </c>
    </row>
    <row r="137" spans="1:5" x14ac:dyDescent="0.3">
      <c r="A137" s="20" t="s">
        <v>18</v>
      </c>
      <c r="B137" s="4">
        <v>2012</v>
      </c>
      <c r="C137" s="120">
        <f>1837</f>
        <v>1837</v>
      </c>
      <c r="D137" s="118">
        <v>2946.8919999999998</v>
      </c>
      <c r="E137" s="119">
        <v>10</v>
      </c>
    </row>
    <row r="138" spans="1:5" x14ac:dyDescent="0.3">
      <c r="A138" s="19" t="s">
        <v>18</v>
      </c>
      <c r="B138" s="3">
        <v>2013</v>
      </c>
      <c r="C138" s="120">
        <f>2146</f>
        <v>2146</v>
      </c>
      <c r="D138" s="121">
        <v>2835.299</v>
      </c>
      <c r="E138" s="119">
        <v>11</v>
      </c>
    </row>
    <row r="139" spans="1:5" x14ac:dyDescent="0.3">
      <c r="A139" s="19" t="s">
        <v>18</v>
      </c>
      <c r="B139" s="3">
        <v>2014</v>
      </c>
      <c r="C139" s="122">
        <f>2366</f>
        <v>2366</v>
      </c>
      <c r="D139" s="121">
        <v>3575</v>
      </c>
      <c r="E139" s="119">
        <v>12</v>
      </c>
    </row>
    <row r="140" spans="1:5" x14ac:dyDescent="0.3">
      <c r="A140" s="19" t="s">
        <v>18</v>
      </c>
      <c r="B140" s="3">
        <v>2015</v>
      </c>
      <c r="C140" s="122">
        <v>1248</v>
      </c>
      <c r="D140" s="121">
        <v>2073</v>
      </c>
      <c r="E140" s="119">
        <v>12</v>
      </c>
    </row>
    <row r="141" spans="1:5" x14ac:dyDescent="0.3">
      <c r="A141" s="21" t="s">
        <v>18</v>
      </c>
      <c r="B141" s="94">
        <v>2016</v>
      </c>
      <c r="C141" s="123">
        <v>1498</v>
      </c>
      <c r="D141" s="124">
        <f>2409-21</f>
        <v>2388</v>
      </c>
      <c r="E141" s="119">
        <v>13</v>
      </c>
    </row>
    <row r="142" spans="1:5" x14ac:dyDescent="0.3">
      <c r="A142" s="19" t="s">
        <v>22</v>
      </c>
      <c r="B142" s="3">
        <v>2007</v>
      </c>
      <c r="C142" s="117">
        <v>0</v>
      </c>
      <c r="D142" s="118">
        <v>0</v>
      </c>
      <c r="E142" s="119">
        <v>0</v>
      </c>
    </row>
    <row r="143" spans="1:5" x14ac:dyDescent="0.3">
      <c r="A143" s="19" t="s">
        <v>22</v>
      </c>
      <c r="B143" s="3">
        <v>2008</v>
      </c>
      <c r="C143" s="117">
        <v>0</v>
      </c>
      <c r="D143" s="118">
        <v>0</v>
      </c>
      <c r="E143" s="119">
        <v>25</v>
      </c>
    </row>
    <row r="144" spans="1:5" x14ac:dyDescent="0.3">
      <c r="A144" s="19" t="s">
        <v>22</v>
      </c>
      <c r="B144" s="3">
        <v>2009</v>
      </c>
      <c r="C144" s="120">
        <f>554.207</f>
        <v>554.20699999999999</v>
      </c>
      <c r="D144" s="118">
        <v>814.24400000000003</v>
      </c>
      <c r="E144" s="119">
        <v>25</v>
      </c>
    </row>
    <row r="145" spans="1:5" x14ac:dyDescent="0.3">
      <c r="A145" s="19" t="s">
        <v>22</v>
      </c>
      <c r="B145" s="3">
        <v>2010</v>
      </c>
      <c r="C145" s="120">
        <f>433.886</f>
        <v>433.88600000000002</v>
      </c>
      <c r="D145" s="118">
        <v>1211.8779999999999</v>
      </c>
      <c r="E145" s="119">
        <v>26</v>
      </c>
    </row>
    <row r="146" spans="1:5" x14ac:dyDescent="0.3">
      <c r="A146" s="19" t="s">
        <v>22</v>
      </c>
      <c r="B146" s="3">
        <v>2011</v>
      </c>
      <c r="C146" s="120">
        <f>610.2</f>
        <v>610.20000000000005</v>
      </c>
      <c r="D146" s="118">
        <v>1616.6010000000001</v>
      </c>
      <c r="E146" s="119">
        <v>26</v>
      </c>
    </row>
    <row r="147" spans="1:5" x14ac:dyDescent="0.3">
      <c r="A147" s="20" t="s">
        <v>22</v>
      </c>
      <c r="B147" s="4">
        <v>2012</v>
      </c>
      <c r="C147" s="120">
        <f>647.099</f>
        <v>647.09900000000005</v>
      </c>
      <c r="D147" s="118">
        <v>1716.6120000000001</v>
      </c>
      <c r="E147" s="119">
        <v>26</v>
      </c>
    </row>
    <row r="148" spans="1:5" x14ac:dyDescent="0.3">
      <c r="A148" s="19" t="s">
        <v>22</v>
      </c>
      <c r="B148" s="3">
        <v>2013</v>
      </c>
      <c r="C148" s="120">
        <f>743.538</f>
        <v>743.53800000000001</v>
      </c>
      <c r="D148" s="121">
        <v>1453.816</v>
      </c>
      <c r="E148" s="119">
        <v>26</v>
      </c>
    </row>
    <row r="149" spans="1:5" x14ac:dyDescent="0.3">
      <c r="A149" s="19" t="s">
        <v>22</v>
      </c>
      <c r="B149" s="3">
        <v>2014</v>
      </c>
      <c r="C149" s="122">
        <v>974.35299999999995</v>
      </c>
      <c r="D149" s="121">
        <v>2065.0549999999998</v>
      </c>
      <c r="E149" s="119">
        <v>27</v>
      </c>
    </row>
    <row r="150" spans="1:5" x14ac:dyDescent="0.3">
      <c r="A150" s="19" t="s">
        <v>22</v>
      </c>
      <c r="B150" s="3">
        <v>2015</v>
      </c>
      <c r="C150" s="122">
        <v>691.40200000000004</v>
      </c>
      <c r="D150" s="121">
        <v>925.72500000000002</v>
      </c>
      <c r="E150" s="119">
        <v>27</v>
      </c>
    </row>
    <row r="151" spans="1:5" x14ac:dyDescent="0.3">
      <c r="A151" s="21" t="s">
        <v>22</v>
      </c>
      <c r="B151" s="94">
        <v>2016</v>
      </c>
      <c r="C151" s="123">
        <v>387.06799999999998</v>
      </c>
      <c r="D151" s="124">
        <v>3701.1529999999998</v>
      </c>
      <c r="E151" s="119">
        <v>17</v>
      </c>
    </row>
    <row r="152" spans="1:5" x14ac:dyDescent="0.3">
      <c r="A152" s="19" t="s">
        <v>19</v>
      </c>
      <c r="B152" s="3">
        <v>2007</v>
      </c>
      <c r="C152" s="117">
        <v>0</v>
      </c>
      <c r="D152" s="118">
        <v>0</v>
      </c>
      <c r="E152" s="119">
        <v>0</v>
      </c>
    </row>
    <row r="153" spans="1:5" x14ac:dyDescent="0.3">
      <c r="A153" s="19" t="s">
        <v>19</v>
      </c>
      <c r="B153" s="3">
        <v>2008</v>
      </c>
      <c r="C153" s="117">
        <v>0</v>
      </c>
      <c r="D153" s="118">
        <v>0</v>
      </c>
      <c r="E153" s="119">
        <v>0</v>
      </c>
    </row>
    <row r="154" spans="1:5" x14ac:dyDescent="0.3">
      <c r="A154" s="19" t="s">
        <v>19</v>
      </c>
      <c r="B154" s="3">
        <v>2009</v>
      </c>
      <c r="C154" s="120">
        <f>1359.376</f>
        <v>1359.376</v>
      </c>
      <c r="D154" s="118">
        <v>1529.876</v>
      </c>
      <c r="E154" s="119">
        <v>0</v>
      </c>
    </row>
    <row r="155" spans="1:5" x14ac:dyDescent="0.3">
      <c r="A155" s="19" t="s">
        <v>19</v>
      </c>
      <c r="B155" s="3">
        <v>2010</v>
      </c>
      <c r="C155" s="120">
        <f>1642.585</f>
        <v>1642.585</v>
      </c>
      <c r="D155" s="118">
        <v>1781.424</v>
      </c>
      <c r="E155" s="119">
        <v>0</v>
      </c>
    </row>
    <row r="156" spans="1:5" x14ac:dyDescent="0.3">
      <c r="A156" s="19" t="s">
        <v>19</v>
      </c>
      <c r="B156" s="3">
        <v>2011</v>
      </c>
      <c r="C156" s="120">
        <f>1739.817</f>
        <v>1739.817</v>
      </c>
      <c r="D156" s="118">
        <v>1960.106</v>
      </c>
      <c r="E156" s="119">
        <v>0</v>
      </c>
    </row>
    <row r="157" spans="1:5" x14ac:dyDescent="0.3">
      <c r="A157" s="20" t="s">
        <v>19</v>
      </c>
      <c r="B157" s="4">
        <v>2012</v>
      </c>
      <c r="C157" s="120">
        <f>1654</f>
        <v>1654</v>
      </c>
      <c r="D157" s="118">
        <v>1911</v>
      </c>
      <c r="E157" s="119">
        <v>0</v>
      </c>
    </row>
    <row r="158" spans="1:5" x14ac:dyDescent="0.3">
      <c r="A158" s="19" t="s">
        <v>19</v>
      </c>
      <c r="B158" s="3">
        <v>2013</v>
      </c>
      <c r="C158" s="120">
        <f>1909</f>
        <v>1909</v>
      </c>
      <c r="D158" s="121">
        <v>2023</v>
      </c>
      <c r="E158" s="119">
        <v>0</v>
      </c>
    </row>
    <row r="159" spans="1:5" x14ac:dyDescent="0.3">
      <c r="A159" s="19" t="s">
        <v>19</v>
      </c>
      <c r="B159" s="3">
        <v>2014</v>
      </c>
      <c r="C159" s="122">
        <f>2335</f>
        <v>2335</v>
      </c>
      <c r="D159" s="121">
        <v>7221</v>
      </c>
      <c r="E159" s="119">
        <v>0</v>
      </c>
    </row>
    <row r="160" spans="1:5" x14ac:dyDescent="0.3">
      <c r="A160" s="19" t="s">
        <v>19</v>
      </c>
      <c r="B160" s="3">
        <v>2015</v>
      </c>
      <c r="C160" s="122">
        <v>1580</v>
      </c>
      <c r="D160" s="121">
        <v>2240</v>
      </c>
      <c r="E160" s="119">
        <v>0</v>
      </c>
    </row>
    <row r="161" spans="1:5" x14ac:dyDescent="0.3">
      <c r="A161" s="21" t="s">
        <v>19</v>
      </c>
      <c r="B161" s="94">
        <v>2016</v>
      </c>
      <c r="C161" s="123">
        <v>498</v>
      </c>
      <c r="D161" s="124">
        <v>621</v>
      </c>
      <c r="E161" s="119">
        <v>0</v>
      </c>
    </row>
    <row r="162" spans="1:5" x14ac:dyDescent="0.3">
      <c r="C162" s="104"/>
      <c r="D162" s="104"/>
    </row>
    <row r="163" spans="1:5" x14ac:dyDescent="0.3">
      <c r="C163" s="104"/>
      <c r="D163" s="104"/>
    </row>
    <row r="164" spans="1:5" x14ac:dyDescent="0.3">
      <c r="C164" s="104"/>
      <c r="D164" s="104"/>
    </row>
    <row r="165" spans="1:5" x14ac:dyDescent="0.3">
      <c r="C165" s="104"/>
      <c r="D165" s="104"/>
    </row>
    <row r="166" spans="1:5" x14ac:dyDescent="0.3">
      <c r="C166" s="104"/>
      <c r="D166" s="104"/>
    </row>
    <row r="167" spans="1:5" x14ac:dyDescent="0.3">
      <c r="C167" s="18"/>
      <c r="D167" s="104"/>
    </row>
    <row r="168" spans="1:5" x14ac:dyDescent="0.3">
      <c r="C168" s="18"/>
      <c r="D168" s="104"/>
    </row>
    <row r="169" spans="1:5" x14ac:dyDescent="0.3">
      <c r="C169" s="18"/>
      <c r="D169" s="104"/>
    </row>
    <row r="170" spans="1:5" x14ac:dyDescent="0.3">
      <c r="C170" s="104"/>
      <c r="D170" s="104"/>
    </row>
    <row r="171" spans="1:5" x14ac:dyDescent="0.3">
      <c r="C171" s="104"/>
      <c r="D171" s="104"/>
    </row>
    <row r="172" spans="1:5" x14ac:dyDescent="0.3">
      <c r="C172" s="104"/>
      <c r="D172" s="104"/>
    </row>
    <row r="173" spans="1:5" x14ac:dyDescent="0.3">
      <c r="C173" s="104"/>
      <c r="D173" s="104"/>
    </row>
    <row r="174" spans="1:5" x14ac:dyDescent="0.3">
      <c r="C174" s="104"/>
      <c r="D174" s="104"/>
    </row>
    <row r="175" spans="1:5" x14ac:dyDescent="0.3">
      <c r="C175" s="104"/>
      <c r="D175" s="104"/>
    </row>
    <row r="176" spans="1:5" x14ac:dyDescent="0.3">
      <c r="C176" s="104"/>
      <c r="D176" s="104"/>
    </row>
    <row r="177" spans="3:4" x14ac:dyDescent="0.3">
      <c r="C177" s="104"/>
      <c r="D177" s="104"/>
    </row>
    <row r="178" spans="3:4" x14ac:dyDescent="0.3">
      <c r="C178" s="104"/>
      <c r="D178" s="104"/>
    </row>
    <row r="179" spans="3:4" x14ac:dyDescent="0.3">
      <c r="C179" s="104"/>
      <c r="D179" s="104"/>
    </row>
  </sheetData>
  <pageMargins left="0.7" right="0.7" top="0.75" bottom="0.75" header="0.3" footer="0.3"/>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Data</vt:lpstr>
      <vt:lpstr>Dashboard</vt:lpstr>
      <vt:lpstr>Other info</vt:lpstr>
      <vt:lpstr>Other calcs</vt:lpstr>
      <vt:lpstr>Misc</vt:lpstr>
      <vt:lpstr>WSJ</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Quijano</dc:creator>
  <cp:lastModifiedBy>Gurcan Gulen</cp:lastModifiedBy>
  <cp:lastPrinted>2016-04-08T15:03:47Z</cp:lastPrinted>
  <dcterms:created xsi:type="dcterms:W3CDTF">2016-02-12T20:08:06Z</dcterms:created>
  <dcterms:modified xsi:type="dcterms:W3CDTF">2017-12-06T21:23:35Z</dcterms:modified>
</cp:coreProperties>
</file>