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guleng\Documents\CEE at BEG\web site\"/>
    </mc:Choice>
  </mc:AlternateContent>
  <bookViews>
    <workbookView xWindow="0" yWindow="0" windowWidth="28800" windowHeight="12420" tabRatio="757"/>
  </bookViews>
  <sheets>
    <sheet name="Notes" sheetId="37" r:id="rId1"/>
    <sheet name="Projects" sheetId="24" r:id="rId2"/>
    <sheet name="Investment" sheetId="38" r:id="rId3"/>
    <sheet name="NG Consumption" sheetId="39" r:id="rId4"/>
    <sheet name="Regional Distribution" sheetId="40" r:id="rId5"/>
  </sheets>
  <calcPr calcId="152511" concurrentCalc="0"/>
  <pivotCaches>
    <pivotCache cacheId="23" r:id="rId6"/>
  </pivotCaches>
</workbook>
</file>

<file path=xl/calcChain.xml><?xml version="1.0" encoding="utf-8"?>
<calcChain xmlns="http://schemas.openxmlformats.org/spreadsheetml/2006/main">
  <c r="N114" i="24" l="1"/>
  <c r="O114" i="24"/>
  <c r="L114" i="24"/>
  <c r="M114" i="24"/>
  <c r="C189" i="24"/>
  <c r="H59" i="24"/>
  <c r="L8" i="24"/>
  <c r="N8" i="24"/>
  <c r="C2" i="24"/>
  <c r="C5" i="24"/>
  <c r="C3" i="24"/>
  <c r="C142" i="24"/>
  <c r="C58" i="24"/>
  <c r="C275" i="24"/>
  <c r="C280" i="24"/>
  <c r="C12" i="24"/>
  <c r="C11" i="24"/>
  <c r="C174" i="24"/>
  <c r="C13" i="24"/>
  <c r="C14" i="24"/>
  <c r="C15" i="24"/>
  <c r="C17" i="24"/>
  <c r="C113" i="24"/>
  <c r="C31" i="24"/>
  <c r="C19" i="24"/>
  <c r="C20" i="24"/>
  <c r="C59" i="24"/>
  <c r="C22" i="24"/>
  <c r="C175" i="24"/>
  <c r="C32" i="24"/>
  <c r="C79" i="24"/>
  <c r="C106" i="24"/>
  <c r="C26" i="24"/>
  <c r="C27" i="24"/>
  <c r="C28" i="24"/>
  <c r="C29" i="24"/>
  <c r="C211" i="24"/>
  <c r="C202" i="24"/>
  <c r="C103" i="24"/>
  <c r="C34" i="24"/>
  <c r="C241" i="24"/>
  <c r="C247" i="24"/>
  <c r="C37" i="24"/>
  <c r="C140" i="24"/>
  <c r="C38" i="24"/>
  <c r="C23" i="24"/>
  <c r="C264" i="24"/>
  <c r="C42" i="24"/>
  <c r="C43" i="24"/>
  <c r="C44" i="24"/>
  <c r="C235" i="24"/>
  <c r="C251" i="24"/>
  <c r="C146" i="24"/>
  <c r="C48" i="24"/>
  <c r="C49" i="24"/>
  <c r="C212" i="24"/>
  <c r="C51" i="24"/>
  <c r="C196" i="24"/>
  <c r="C249" i="24"/>
  <c r="C176" i="24"/>
  <c r="C214" i="24"/>
  <c r="C57" i="24"/>
  <c r="C276" i="24"/>
  <c r="C85" i="24"/>
  <c r="C277" i="24"/>
  <c r="C278" i="24"/>
  <c r="C60" i="24"/>
  <c r="C61" i="24"/>
  <c r="C62" i="24"/>
  <c r="C63" i="24"/>
  <c r="C279" i="24"/>
  <c r="C80" i="24"/>
  <c r="C69" i="24"/>
  <c r="C71" i="24"/>
  <c r="C72" i="24"/>
  <c r="C73" i="24"/>
  <c r="C74" i="24"/>
  <c r="C90" i="24"/>
  <c r="C76" i="24"/>
  <c r="C77" i="24"/>
  <c r="C78" i="24"/>
  <c r="C46" i="24"/>
  <c r="C91" i="24"/>
  <c r="C245" i="24"/>
  <c r="C242" i="24"/>
  <c r="C114" i="24"/>
  <c r="C123" i="24"/>
  <c r="C86" i="24"/>
  <c r="C262" i="24"/>
  <c r="C88" i="24"/>
  <c r="C89" i="24"/>
  <c r="C273" i="24"/>
  <c r="C263" i="24"/>
  <c r="C94" i="24"/>
  <c r="C95" i="24"/>
  <c r="C96" i="24"/>
  <c r="C97" i="24"/>
  <c r="C268" i="24"/>
  <c r="C99" i="24"/>
  <c r="C100" i="24"/>
  <c r="C101" i="24"/>
  <c r="C229" i="24"/>
  <c r="C230" i="24"/>
  <c r="C105" i="24"/>
  <c r="C250" i="24"/>
  <c r="C231" i="24"/>
  <c r="C9" i="24"/>
  <c r="C10" i="24"/>
  <c r="C107" i="24"/>
  <c r="C206" i="24"/>
  <c r="C177" i="24"/>
  <c r="C112" i="24"/>
  <c r="C115" i="24"/>
  <c r="C194" i="24"/>
  <c r="C120" i="24"/>
  <c r="C53" i="24"/>
  <c r="C286" i="24"/>
  <c r="C254" i="24"/>
  <c r="C116" i="24"/>
  <c r="C50" i="24"/>
  <c r="C208" i="24"/>
  <c r="C209" i="24"/>
  <c r="C54" i="24"/>
  <c r="C124" i="24"/>
  <c r="C215" i="24"/>
  <c r="C126" i="24"/>
  <c r="C127" i="24"/>
  <c r="C128" i="24"/>
  <c r="C129" i="24"/>
  <c r="C130" i="24"/>
  <c r="C131" i="24"/>
  <c r="C132" i="24"/>
  <c r="C133" i="24"/>
  <c r="C134" i="24"/>
  <c r="C135" i="24"/>
  <c r="C136" i="24"/>
  <c r="C137" i="24"/>
  <c r="C138" i="24"/>
  <c r="C272" i="24"/>
  <c r="C121" i="24"/>
  <c r="C141" i="24"/>
  <c r="C52" i="24"/>
  <c r="C144" i="24"/>
  <c r="C145" i="24"/>
  <c r="C195" i="24"/>
  <c r="C259" i="24"/>
  <c r="C110" i="24"/>
  <c r="C148" i="24"/>
  <c r="C68" i="24"/>
  <c r="C151" i="24"/>
  <c r="C210" i="24"/>
  <c r="C152" i="24"/>
  <c r="C153" i="24"/>
  <c r="C154" i="24"/>
  <c r="C155" i="24"/>
  <c r="C221" i="24"/>
  <c r="C287" i="24"/>
  <c r="C185" i="24"/>
  <c r="C257" i="24"/>
  <c r="C159" i="24"/>
  <c r="C160" i="24"/>
  <c r="C161" i="24"/>
  <c r="C162" i="24"/>
  <c r="C163" i="24"/>
  <c r="C164" i="24"/>
  <c r="C165" i="24"/>
  <c r="C166" i="24"/>
  <c r="C168" i="24"/>
  <c r="C122" i="24"/>
  <c r="C171" i="24"/>
  <c r="C172" i="24"/>
  <c r="C173" i="24"/>
  <c r="C178" i="24"/>
  <c r="C156" i="24"/>
  <c r="C35" i="24"/>
  <c r="C66" i="24"/>
  <c r="C104" i="24"/>
  <c r="C170" i="24"/>
  <c r="C182" i="24"/>
  <c r="C183" i="24"/>
  <c r="C228" i="24"/>
  <c r="C186" i="24"/>
  <c r="C187" i="24"/>
  <c r="C188" i="24"/>
  <c r="C190" i="24"/>
  <c r="C191" i="24"/>
  <c r="C192" i="24"/>
  <c r="C193" i="24"/>
  <c r="C205" i="24"/>
  <c r="C237" i="24"/>
  <c r="C238" i="24"/>
  <c r="C197" i="24"/>
  <c r="C226" i="24"/>
  <c r="C199" i="24"/>
  <c r="C7" i="24"/>
  <c r="C157" i="24"/>
  <c r="C56" i="24"/>
  <c r="C203" i="24"/>
  <c r="C87" i="24"/>
  <c r="C139" i="24"/>
  <c r="C204" i="24"/>
  <c r="C147" i="24"/>
  <c r="C16" i="24"/>
  <c r="C216" i="24"/>
  <c r="C70" i="24"/>
  <c r="C150" i="24"/>
  <c r="C207" i="24"/>
  <c r="C184" i="24"/>
  <c r="C217" i="24"/>
  <c r="C55" i="24"/>
  <c r="C198" i="24"/>
  <c r="C218" i="24"/>
  <c r="C219" i="24"/>
  <c r="C220" i="24"/>
  <c r="C8" i="24"/>
  <c r="C222" i="24"/>
  <c r="C224" i="24"/>
  <c r="C169" i="24"/>
  <c r="C225" i="24"/>
  <c r="C227" i="24"/>
  <c r="C149" i="24"/>
  <c r="C75" i="24"/>
  <c r="C232" i="24"/>
  <c r="C252" i="24"/>
  <c r="C158" i="24"/>
  <c r="C270" i="24"/>
  <c r="C33" i="24"/>
  <c r="C179" i="24"/>
  <c r="C236" i="24"/>
  <c r="C18" i="24"/>
  <c r="C256" i="24"/>
  <c r="C240" i="24"/>
  <c r="C81" i="24"/>
  <c r="C108" i="24"/>
  <c r="C109" i="24"/>
  <c r="C117" i="24"/>
  <c r="C118" i="24"/>
  <c r="C64" i="24"/>
  <c r="C65" i="24"/>
  <c r="C125" i="24"/>
  <c r="C248" i="24"/>
  <c r="C180" i="24"/>
  <c r="C244" i="24"/>
  <c r="C243" i="24"/>
  <c r="C253" i="24"/>
  <c r="C39" i="24"/>
  <c r="C255" i="24"/>
  <c r="C40" i="24"/>
  <c r="C41" i="24"/>
  <c r="C258" i="24"/>
  <c r="C82" i="24"/>
  <c r="C260" i="24"/>
  <c r="C261" i="24"/>
  <c r="C30" i="24"/>
  <c r="C111" i="24"/>
  <c r="C21" i="24"/>
  <c r="C265" i="24"/>
  <c r="C266" i="24"/>
  <c r="C267" i="24"/>
  <c r="C269" i="24"/>
  <c r="C201" i="24"/>
  <c r="C271" i="24"/>
  <c r="C92" i="24"/>
  <c r="C200" i="24"/>
  <c r="C83" i="24"/>
  <c r="C274" i="24"/>
  <c r="C45" i="24"/>
  <c r="C233" i="24"/>
  <c r="C84" i="24"/>
  <c r="C93" i="24"/>
  <c r="C119" i="24"/>
  <c r="C98" i="24"/>
  <c r="C223" i="24"/>
  <c r="C239" i="24"/>
  <c r="O8" i="24"/>
  <c r="M8" i="24"/>
  <c r="L3" i="24"/>
  <c r="N3" i="24"/>
  <c r="O3" i="24"/>
  <c r="M3" i="24"/>
  <c r="L118" i="24"/>
  <c r="N118" i="24"/>
  <c r="O118" i="24"/>
  <c r="L9" i="24"/>
  <c r="N9" i="24"/>
  <c r="N287" i="24"/>
  <c r="O287" i="24"/>
  <c r="L287" i="24"/>
  <c r="M287" i="24"/>
  <c r="N276" i="24"/>
  <c r="O276" i="24"/>
  <c r="L276" i="24"/>
  <c r="M276" i="24"/>
  <c r="N259" i="24"/>
  <c r="O259" i="24"/>
  <c r="L259" i="24"/>
  <c r="M259" i="24"/>
  <c r="M248" i="24"/>
  <c r="M227" i="24"/>
  <c r="I224" i="24"/>
  <c r="I223" i="24"/>
  <c r="M223" i="24"/>
  <c r="M222" i="24"/>
  <c r="L224" i="24"/>
  <c r="M224" i="24"/>
  <c r="N224" i="24"/>
  <c r="O224" i="24"/>
  <c r="N150" i="24"/>
  <c r="O150" i="24"/>
  <c r="L150" i="24"/>
  <c r="M150" i="24"/>
  <c r="N147" i="24"/>
  <c r="O147" i="24"/>
  <c r="L147" i="24"/>
  <c r="M147" i="24"/>
  <c r="M127" i="24"/>
  <c r="N125" i="24"/>
  <c r="O125" i="24"/>
  <c r="L125" i="24"/>
  <c r="M125" i="24"/>
  <c r="N68" i="24"/>
  <c r="O68" i="24"/>
  <c r="L68" i="24"/>
  <c r="M68" i="24"/>
  <c r="N87" i="24"/>
  <c r="O87" i="24"/>
  <c r="L87" i="24"/>
  <c r="M87" i="24"/>
  <c r="H230" i="24"/>
  <c r="L230" i="24"/>
  <c r="M230" i="24"/>
  <c r="N230" i="24"/>
  <c r="O230" i="24"/>
  <c r="L242" i="24"/>
  <c r="M242" i="24"/>
  <c r="N242" i="24"/>
  <c r="O242" i="24"/>
  <c r="N286" i="24"/>
  <c r="O286" i="24"/>
  <c r="L286" i="24"/>
  <c r="N50" i="24"/>
  <c r="O50" i="24"/>
  <c r="L50" i="24"/>
  <c r="M50" i="24"/>
  <c r="N233" i="24"/>
  <c r="O233" i="24"/>
  <c r="L233" i="24"/>
  <c r="M233" i="24"/>
  <c r="N10" i="24"/>
  <c r="O10" i="24"/>
  <c r="L10" i="24"/>
  <c r="M10" i="24"/>
  <c r="L206" i="24"/>
  <c r="N30" i="24"/>
  <c r="O30" i="24"/>
  <c r="L30" i="24"/>
  <c r="H180" i="24"/>
  <c r="H118" i="24"/>
  <c r="M118" i="24"/>
  <c r="L109" i="24"/>
  <c r="N109" i="24"/>
  <c r="O109" i="24"/>
  <c r="L81" i="24"/>
  <c r="N81" i="24"/>
  <c r="O81" i="24"/>
  <c r="H81" i="24"/>
  <c r="M24" i="24"/>
  <c r="L25" i="24"/>
  <c r="N25" i="24"/>
  <c r="O25" i="24"/>
  <c r="I226" i="24"/>
  <c r="M30" i="24"/>
  <c r="N234" i="24"/>
  <c r="L234" i="24"/>
  <c r="N54" i="24"/>
  <c r="O54" i="24"/>
  <c r="L54" i="24"/>
  <c r="M54" i="24"/>
  <c r="N275" i="24"/>
  <c r="O275" i="24"/>
  <c r="L275" i="24"/>
  <c r="M275" i="24"/>
  <c r="N264" i="24"/>
  <c r="O264" i="24"/>
  <c r="L264" i="24"/>
  <c r="N146" i="24"/>
  <c r="O146" i="24"/>
  <c r="L146" i="24"/>
  <c r="M146" i="24"/>
  <c r="M168" i="24"/>
  <c r="M264" i="24"/>
  <c r="M286" i="24"/>
  <c r="M81" i="24"/>
  <c r="M109" i="24"/>
  <c r="M98" i="24"/>
  <c r="M126" i="24"/>
  <c r="L174" i="24"/>
  <c r="M174" i="24"/>
  <c r="N174" i="24"/>
  <c r="O174" i="24"/>
  <c r="M25" i="24"/>
  <c r="N121" i="24"/>
  <c r="L121" i="24"/>
  <c r="N110" i="24"/>
  <c r="L110" i="24"/>
  <c r="M121" i="24"/>
  <c r="M110" i="24"/>
  <c r="O121" i="24"/>
  <c r="O110" i="24"/>
  <c r="M192" i="24"/>
  <c r="N241" i="24"/>
  <c r="H243" i="24"/>
  <c r="O241" i="24"/>
  <c r="M131" i="24"/>
  <c r="M285" i="24"/>
  <c r="M281" i="24"/>
  <c r="M77" i="24"/>
  <c r="M128" i="24"/>
  <c r="M94" i="24"/>
  <c r="M86" i="24"/>
  <c r="M132" i="24"/>
  <c r="M173" i="24"/>
  <c r="M163" i="24"/>
  <c r="M133" i="24"/>
  <c r="M161" i="24"/>
  <c r="M43" i="24"/>
  <c r="M44" i="24"/>
  <c r="M69" i="24"/>
  <c r="M240" i="24"/>
  <c r="M72" i="24"/>
  <c r="M236" i="24"/>
  <c r="M282" i="24"/>
  <c r="M78" i="24"/>
  <c r="M283" i="24"/>
  <c r="M284" i="24"/>
  <c r="M186" i="24"/>
  <c r="M191" i="24"/>
  <c r="M218" i="24"/>
  <c r="M57" i="24"/>
  <c r="M97" i="24"/>
  <c r="M255" i="24"/>
  <c r="M60" i="24"/>
  <c r="M37" i="24"/>
  <c r="M260" i="24"/>
  <c r="M178" i="24"/>
  <c r="M116" i="24"/>
  <c r="M219" i="24"/>
  <c r="M95" i="24"/>
  <c r="M96" i="24"/>
  <c r="M165" i="24"/>
  <c r="M166" i="24"/>
  <c r="M261" i="24"/>
  <c r="M74" i="24"/>
  <c r="M20" i="24"/>
  <c r="M27" i="24"/>
  <c r="M112" i="24"/>
  <c r="M61" i="24"/>
  <c r="M138" i="24"/>
  <c r="O131" i="24"/>
  <c r="O285" i="24"/>
  <c r="O281" i="24"/>
  <c r="O77" i="24"/>
  <c r="O128" i="24"/>
  <c r="O94" i="24"/>
  <c r="O86" i="24"/>
  <c r="O132" i="24"/>
  <c r="O173" i="24"/>
  <c r="O163" i="24"/>
  <c r="O133" i="24"/>
  <c r="O161" i="24"/>
  <c r="O43" i="24"/>
  <c r="O44" i="24"/>
  <c r="O69" i="24"/>
  <c r="O240" i="24"/>
  <c r="O72" i="24"/>
  <c r="O236" i="24"/>
  <c r="O282" i="24"/>
  <c r="O78" i="24"/>
  <c r="O283" i="24"/>
  <c r="O284" i="24"/>
  <c r="O186" i="24"/>
  <c r="O191" i="24"/>
  <c r="O218" i="24"/>
  <c r="O57" i="24"/>
  <c r="O97" i="24"/>
  <c r="O255" i="24"/>
  <c r="O60" i="24"/>
  <c r="O37" i="24"/>
  <c r="O260" i="24"/>
  <c r="O178" i="24"/>
  <c r="O116" i="24"/>
  <c r="O219" i="24"/>
  <c r="O95" i="24"/>
  <c r="O96" i="24"/>
  <c r="O165" i="24"/>
  <c r="O166" i="24"/>
  <c r="O261" i="24"/>
  <c r="O74" i="24"/>
  <c r="O20" i="24"/>
  <c r="O27" i="24"/>
  <c r="O112" i="24"/>
  <c r="O61" i="24"/>
  <c r="O138" i="24"/>
  <c r="O267" i="24"/>
  <c r="O5" i="24"/>
  <c r="O137" i="24"/>
  <c r="O172" i="24"/>
  <c r="O253" i="24"/>
  <c r="O162" i="24"/>
  <c r="O199" i="24"/>
  <c r="O63" i="24"/>
  <c r="O151" i="24"/>
  <c r="N206" i="24"/>
  <c r="N229" i="24"/>
  <c r="N231" i="24"/>
  <c r="O231" i="24"/>
  <c r="O229" i="24"/>
  <c r="O206" i="24"/>
  <c r="N34" i="24"/>
  <c r="L34" i="24"/>
  <c r="N262" i="24"/>
  <c r="L262" i="24"/>
  <c r="N263" i="24"/>
  <c r="L263" i="24"/>
  <c r="N212" i="24"/>
  <c r="L212" i="24"/>
  <c r="N123" i="24"/>
  <c r="L123" i="24"/>
  <c r="N103" i="24"/>
  <c r="L103" i="24"/>
  <c r="N49" i="24"/>
  <c r="L49" i="24"/>
  <c r="N213" i="24"/>
  <c r="L213" i="24"/>
  <c r="N211" i="24"/>
  <c r="L211" i="24"/>
  <c r="N111" i="24"/>
  <c r="L111" i="24"/>
  <c r="N84" i="24"/>
  <c r="L84" i="24"/>
  <c r="N119" i="24"/>
  <c r="L119" i="24"/>
  <c r="N239" i="24"/>
  <c r="L239" i="24"/>
  <c r="N45" i="24"/>
  <c r="L45" i="24"/>
  <c r="N93" i="24"/>
  <c r="L93" i="24"/>
  <c r="N83" i="24"/>
  <c r="L83" i="24"/>
  <c r="N181" i="24"/>
  <c r="L181" i="24"/>
  <c r="I200" i="24"/>
  <c r="N200" i="24"/>
  <c r="H200" i="24"/>
  <c r="N92" i="24"/>
  <c r="L92" i="24"/>
  <c r="N201" i="24"/>
  <c r="L201" i="24"/>
  <c r="L244" i="24"/>
  <c r="L243" i="24"/>
  <c r="L180" i="24"/>
  <c r="L179" i="24"/>
  <c r="L117" i="24"/>
  <c r="H117" i="24"/>
  <c r="L108" i="24"/>
  <c r="H108" i="24"/>
  <c r="L65" i="24"/>
  <c r="H65" i="24"/>
  <c r="L64" i="24"/>
  <c r="H64" i="24"/>
  <c r="L39" i="24"/>
  <c r="H39" i="24"/>
  <c r="L41" i="24"/>
  <c r="H41" i="24"/>
  <c r="L40" i="24"/>
  <c r="H40" i="24"/>
  <c r="L18" i="24"/>
  <c r="H18" i="24"/>
  <c r="N89" i="24"/>
  <c r="N33" i="24"/>
  <c r="L33" i="24"/>
  <c r="N6" i="24"/>
  <c r="L6" i="24"/>
  <c r="N156" i="24"/>
  <c r="L156" i="24"/>
  <c r="N157" i="24"/>
  <c r="L157" i="24"/>
  <c r="N204" i="24"/>
  <c r="L204" i="24"/>
  <c r="N104" i="24"/>
  <c r="L104" i="24"/>
  <c r="N66" i="24"/>
  <c r="L66" i="24"/>
  <c r="N198" i="24"/>
  <c r="L198" i="24"/>
  <c r="I16" i="24"/>
  <c r="N149" i="24"/>
  <c r="L149" i="24"/>
  <c r="N207" i="24"/>
  <c r="L207" i="24"/>
  <c r="N184" i="24"/>
  <c r="L184" i="24"/>
  <c r="I217" i="24"/>
  <c r="N158" i="24"/>
  <c r="L158" i="24"/>
  <c r="N75" i="24"/>
  <c r="O75" i="24"/>
  <c r="L75" i="24"/>
  <c r="M75" i="24"/>
  <c r="N256" i="24"/>
  <c r="O256" i="24"/>
  <c r="L256" i="24"/>
  <c r="M256" i="24"/>
  <c r="N56" i="24"/>
  <c r="L56" i="24"/>
  <c r="L70" i="24"/>
  <c r="N55" i="24"/>
  <c r="L55" i="24"/>
  <c r="N169" i="24"/>
  <c r="L169" i="24"/>
  <c r="N252" i="24"/>
  <c r="L252" i="24"/>
  <c r="N36" i="24"/>
  <c r="N139" i="24"/>
  <c r="L139" i="24"/>
  <c r="N170" i="24"/>
  <c r="L170" i="24"/>
  <c r="N7" i="24"/>
  <c r="L7" i="24"/>
  <c r="N216" i="24"/>
  <c r="L216" i="24"/>
  <c r="N226" i="24"/>
  <c r="I270" i="24"/>
  <c r="N35" i="24"/>
  <c r="H35" i="24"/>
  <c r="N237" i="24"/>
  <c r="L237" i="24"/>
  <c r="H237" i="24"/>
  <c r="I238" i="24"/>
  <c r="I205" i="24"/>
  <c r="N228" i="24"/>
  <c r="L228" i="24"/>
  <c r="N122" i="24"/>
  <c r="L122" i="24"/>
  <c r="N257" i="24"/>
  <c r="L257" i="24"/>
  <c r="N91" i="24"/>
  <c r="L91" i="24"/>
  <c r="N185" i="24"/>
  <c r="L185" i="24"/>
  <c r="N90" i="24"/>
  <c r="L90" i="24"/>
  <c r="O234" i="24"/>
  <c r="M234" i="24"/>
  <c r="N52" i="24"/>
  <c r="L52" i="24"/>
  <c r="N210" i="24"/>
  <c r="L210" i="24"/>
  <c r="N209" i="24"/>
  <c r="L209" i="24"/>
  <c r="N208" i="24"/>
  <c r="L208" i="24"/>
  <c r="N215" i="24"/>
  <c r="L215" i="24"/>
  <c r="N254" i="24"/>
  <c r="L254" i="24"/>
  <c r="N272" i="24"/>
  <c r="L272" i="24"/>
  <c r="N195" i="24"/>
  <c r="L195" i="24"/>
  <c r="N53" i="24"/>
  <c r="L53" i="24"/>
  <c r="N120" i="24"/>
  <c r="L120" i="24"/>
  <c r="N194" i="24"/>
  <c r="L194" i="24"/>
  <c r="N177" i="24"/>
  <c r="L177" i="24"/>
  <c r="N221" i="24"/>
  <c r="L221" i="24"/>
  <c r="L274" i="24"/>
  <c r="L271" i="24"/>
  <c r="L266" i="24"/>
  <c r="L193" i="24"/>
  <c r="L67" i="24"/>
  <c r="L48" i="24"/>
  <c r="L19" i="24"/>
  <c r="H9" i="24"/>
  <c r="H206" i="24"/>
  <c r="L231" i="24"/>
  <c r="L229" i="24"/>
  <c r="H229" i="24"/>
  <c r="N47" i="24"/>
  <c r="L47" i="24"/>
  <c r="N246" i="24"/>
  <c r="L246" i="24"/>
  <c r="N268" i="24"/>
  <c r="L268" i="24"/>
  <c r="N273" i="24"/>
  <c r="L273" i="24"/>
  <c r="N245" i="24"/>
  <c r="L245" i="24"/>
  <c r="N46" i="24"/>
  <c r="L46" i="24"/>
  <c r="N38" i="24"/>
  <c r="L38" i="24"/>
  <c r="N140" i="24"/>
  <c r="L140" i="24"/>
  <c r="H140" i="24"/>
  <c r="N23" i="24"/>
  <c r="L23" i="24"/>
  <c r="N106" i="24"/>
  <c r="L106" i="24"/>
  <c r="N79" i="24"/>
  <c r="L79" i="24"/>
  <c r="N59" i="24"/>
  <c r="L59" i="24"/>
  <c r="N113" i="24"/>
  <c r="L113" i="24"/>
  <c r="N196" i="24"/>
  <c r="L196" i="24"/>
  <c r="L241" i="24"/>
  <c r="N249" i="24"/>
  <c r="L249" i="24"/>
  <c r="N247" i="24"/>
  <c r="L247" i="24"/>
  <c r="N12" i="24"/>
  <c r="L12" i="24"/>
  <c r="N176" i="24"/>
  <c r="L176" i="24"/>
  <c r="N175" i="24"/>
  <c r="L175" i="24"/>
  <c r="N17" i="24"/>
  <c r="L17" i="24"/>
  <c r="N32" i="24"/>
  <c r="L32" i="24"/>
  <c r="N58" i="24"/>
  <c r="L58" i="24"/>
  <c r="N279" i="24"/>
  <c r="L279" i="24"/>
  <c r="N280" i="24"/>
  <c r="L280" i="24"/>
  <c r="N31" i="24"/>
  <c r="L31" i="24"/>
  <c r="N142" i="24"/>
  <c r="L142" i="24"/>
  <c r="N278" i="24"/>
  <c r="L278" i="24"/>
  <c r="N80" i="24"/>
  <c r="L80" i="24"/>
  <c r="I203" i="24"/>
  <c r="L129" i="24"/>
  <c r="L250" i="24"/>
  <c r="L85" i="24"/>
  <c r="L214" i="24"/>
  <c r="L277" i="24"/>
  <c r="L202" i="24"/>
  <c r="I115" i="24"/>
  <c r="L2" i="24"/>
  <c r="L14" i="24"/>
  <c r="L15" i="24"/>
  <c r="L13" i="24"/>
  <c r="N238" i="24"/>
  <c r="O238" i="24"/>
  <c r="L217" i="24"/>
  <c r="M217" i="24"/>
  <c r="L270" i="24"/>
  <c r="M270" i="24"/>
  <c r="L203" i="24"/>
  <c r="N203" i="24"/>
  <c r="L115" i="24"/>
  <c r="N115" i="24"/>
  <c r="H241" i="24"/>
  <c r="L16" i="24"/>
  <c r="N217" i="24"/>
  <c r="O217" i="24"/>
  <c r="M279" i="24"/>
  <c r="O247" i="24"/>
  <c r="M206" i="24"/>
  <c r="O237" i="24"/>
  <c r="M56" i="24"/>
  <c r="M198" i="24"/>
  <c r="M250" i="24"/>
  <c r="O279" i="24"/>
  <c r="O79" i="24"/>
  <c r="M245" i="24"/>
  <c r="O47" i="24"/>
  <c r="O53" i="24"/>
  <c r="O52" i="24"/>
  <c r="M169" i="24"/>
  <c r="M207" i="24"/>
  <c r="M204" i="24"/>
  <c r="M123" i="24"/>
  <c r="M113" i="24"/>
  <c r="M209" i="24"/>
  <c r="M122" i="24"/>
  <c r="M6" i="24"/>
  <c r="O181" i="24"/>
  <c r="O123" i="24"/>
  <c r="M277" i="24"/>
  <c r="M17" i="24"/>
  <c r="O113" i="24"/>
  <c r="O122" i="24"/>
  <c r="O6" i="24"/>
  <c r="O45" i="24"/>
  <c r="O58" i="24"/>
  <c r="O106" i="24"/>
  <c r="M273" i="24"/>
  <c r="O195" i="24"/>
  <c r="M55" i="24"/>
  <c r="M18" i="24"/>
  <c r="M80" i="24"/>
  <c r="O280" i="24"/>
  <c r="O32" i="24"/>
  <c r="O59" i="24"/>
  <c r="M23" i="24"/>
  <c r="M46" i="24"/>
  <c r="M231" i="24"/>
  <c r="O120" i="24"/>
  <c r="M272" i="24"/>
  <c r="O210" i="24"/>
  <c r="M90" i="24"/>
  <c r="O170" i="24"/>
  <c r="M184" i="24"/>
  <c r="M85" i="24"/>
  <c r="O80" i="24"/>
  <c r="M31" i="24"/>
  <c r="O175" i="24"/>
  <c r="M247" i="24"/>
  <c r="M196" i="24"/>
  <c r="O23" i="24"/>
  <c r="O46" i="24"/>
  <c r="M268" i="24"/>
  <c r="M177" i="24"/>
  <c r="O272" i="24"/>
  <c r="M208" i="24"/>
  <c r="O90" i="24"/>
  <c r="M257" i="24"/>
  <c r="M228" i="24"/>
  <c r="M237" i="24"/>
  <c r="M216" i="24"/>
  <c r="O252" i="24"/>
  <c r="O184" i="24"/>
  <c r="O104" i="24"/>
  <c r="M156" i="24"/>
  <c r="O200" i="24"/>
  <c r="M93" i="24"/>
  <c r="O111" i="24"/>
  <c r="O103" i="24"/>
  <c r="M263" i="24"/>
  <c r="M13" i="24"/>
  <c r="M79" i="24"/>
  <c r="O268" i="24"/>
  <c r="O177" i="24"/>
  <c r="M52" i="24"/>
  <c r="O216" i="24"/>
  <c r="O156" i="24"/>
  <c r="M119" i="24"/>
  <c r="M213" i="24"/>
  <c r="M176" i="24"/>
  <c r="M254" i="24"/>
  <c r="M185" i="24"/>
  <c r="L205" i="24"/>
  <c r="O139" i="24"/>
  <c r="O56" i="24"/>
  <c r="M158" i="24"/>
  <c r="O198" i="24"/>
  <c r="M201" i="24"/>
  <c r="O119" i="24"/>
  <c r="O213" i="24"/>
  <c r="M249" i="24"/>
  <c r="O245" i="24"/>
  <c r="M9" i="24"/>
  <c r="O254" i="24"/>
  <c r="O185" i="24"/>
  <c r="M7" i="24"/>
  <c r="O169" i="24"/>
  <c r="O158" i="24"/>
  <c r="O204" i="24"/>
  <c r="O89" i="24"/>
  <c r="O201" i="24"/>
  <c r="M45" i="24"/>
  <c r="M262" i="24"/>
  <c r="M129" i="24"/>
  <c r="M106" i="24"/>
  <c r="M229" i="24"/>
  <c r="M195" i="24"/>
  <c r="O209" i="24"/>
  <c r="M66" i="24"/>
  <c r="M243" i="24"/>
  <c r="M84" i="24"/>
  <c r="M49" i="24"/>
  <c r="O262" i="24"/>
  <c r="M14" i="24"/>
  <c r="M12" i="24"/>
  <c r="M38" i="24"/>
  <c r="M149" i="24"/>
  <c r="O66" i="24"/>
  <c r="M157" i="24"/>
  <c r="M92" i="24"/>
  <c r="M83" i="24"/>
  <c r="O84" i="24"/>
  <c r="O49" i="24"/>
  <c r="M212" i="24"/>
  <c r="O142" i="24"/>
  <c r="M280" i="24"/>
  <c r="M32" i="24"/>
  <c r="O12" i="24"/>
  <c r="M241" i="24"/>
  <c r="M59" i="24"/>
  <c r="O38" i="24"/>
  <c r="O273" i="24"/>
  <c r="M246" i="24"/>
  <c r="O221" i="24"/>
  <c r="M120" i="24"/>
  <c r="O215" i="24"/>
  <c r="M210" i="24"/>
  <c r="O91" i="24"/>
  <c r="O226" i="24"/>
  <c r="M170" i="24"/>
  <c r="O55" i="24"/>
  <c r="O149" i="24"/>
  <c r="O157" i="24"/>
  <c r="M33" i="24"/>
  <c r="O92" i="24"/>
  <c r="O83" i="24"/>
  <c r="M239" i="24"/>
  <c r="M211" i="24"/>
  <c r="O212" i="24"/>
  <c r="M34" i="24"/>
  <c r="O31" i="24"/>
  <c r="O196" i="24"/>
  <c r="M47" i="24"/>
  <c r="M53" i="24"/>
  <c r="O208" i="24"/>
  <c r="O257" i="24"/>
  <c r="O228" i="24"/>
  <c r="M139" i="24"/>
  <c r="O93" i="24"/>
  <c r="O263" i="24"/>
  <c r="M278" i="24"/>
  <c r="M140" i="24"/>
  <c r="M181" i="24"/>
  <c r="O278" i="24"/>
  <c r="O176" i="24"/>
  <c r="O140" i="24"/>
  <c r="M194" i="24"/>
  <c r="O207" i="24"/>
  <c r="M58" i="24"/>
  <c r="O249" i="24"/>
  <c r="O194" i="24"/>
  <c r="O7" i="24"/>
  <c r="M142" i="24"/>
  <c r="O17" i="24"/>
  <c r="M221" i="24"/>
  <c r="M215" i="24"/>
  <c r="M91" i="24"/>
  <c r="M2" i="24"/>
  <c r="M175" i="24"/>
  <c r="O246" i="24"/>
  <c r="M252" i="24"/>
  <c r="M70" i="24"/>
  <c r="M104" i="24"/>
  <c r="O33" i="24"/>
  <c r="M40" i="24"/>
  <c r="M117" i="24"/>
  <c r="O239" i="24"/>
  <c r="M111" i="24"/>
  <c r="O211" i="24"/>
  <c r="M103" i="24"/>
  <c r="O34" i="24"/>
  <c r="N16" i="24"/>
  <c r="N270" i="24"/>
  <c r="N70" i="24"/>
  <c r="N65" i="24"/>
  <c r="M65" i="24"/>
  <c r="N214" i="24"/>
  <c r="M214" i="24"/>
  <c r="N244" i="24"/>
  <c r="M244" i="24"/>
  <c r="N67" i="24"/>
  <c r="M67" i="24"/>
  <c r="N274" i="24"/>
  <c r="M274" i="24"/>
  <c r="N39" i="24"/>
  <c r="M39" i="24"/>
  <c r="N180" i="24"/>
  <c r="M180" i="24"/>
  <c r="N193" i="24"/>
  <c r="M193" i="24"/>
  <c r="N202" i="24"/>
  <c r="M202" i="24"/>
  <c r="N14" i="24"/>
  <c r="N129" i="24"/>
  <c r="N48" i="24"/>
  <c r="M48" i="24"/>
  <c r="N271" i="24"/>
  <c r="M271" i="24"/>
  <c r="N41" i="24"/>
  <c r="M41" i="24"/>
  <c r="N179" i="24"/>
  <c r="M179" i="24"/>
  <c r="N108" i="24"/>
  <c r="M108" i="24"/>
  <c r="N15" i="24"/>
  <c r="M15" i="24"/>
  <c r="N250" i="24"/>
  <c r="N19" i="24"/>
  <c r="M19" i="24"/>
  <c r="N266" i="24"/>
  <c r="M266" i="24"/>
  <c r="N64" i="24"/>
  <c r="M64" i="24"/>
  <c r="L200" i="24"/>
  <c r="L238" i="24"/>
  <c r="L226" i="24"/>
  <c r="N117" i="24"/>
  <c r="N13" i="24"/>
  <c r="N85" i="24"/>
  <c r="N21" i="24"/>
  <c r="L21" i="24"/>
  <c r="N243" i="24"/>
  <c r="L82" i="24"/>
  <c r="N2" i="24"/>
  <c r="N205" i="24"/>
  <c r="N277" i="24"/>
  <c r="N40" i="24"/>
  <c r="N18" i="24"/>
  <c r="M203" i="24"/>
  <c r="M115" i="24"/>
  <c r="M16" i="24"/>
  <c r="M82" i="24"/>
  <c r="O117" i="24"/>
  <c r="O48" i="24"/>
  <c r="O129" i="24"/>
  <c r="O39" i="24"/>
  <c r="O244" i="24"/>
  <c r="O277" i="24"/>
  <c r="M21" i="24"/>
  <c r="O2" i="24"/>
  <c r="O85" i="24"/>
  <c r="M238" i="24"/>
  <c r="O19" i="24"/>
  <c r="O108" i="24"/>
  <c r="O271" i="24"/>
  <c r="O193" i="24"/>
  <c r="O274" i="24"/>
  <c r="O65" i="24"/>
  <c r="O13" i="24"/>
  <c r="O243" i="24"/>
  <c r="O203" i="24"/>
  <c r="O180" i="24"/>
  <c r="O250" i="24"/>
  <c r="O40" i="24"/>
  <c r="O9" i="24"/>
  <c r="O64" i="24"/>
  <c r="O14" i="24"/>
  <c r="O70" i="24"/>
  <c r="O205" i="24"/>
  <c r="O15" i="24"/>
  <c r="O270" i="24"/>
  <c r="O21" i="24"/>
  <c r="M200" i="24"/>
  <c r="O266" i="24"/>
  <c r="O41" i="24"/>
  <c r="O202" i="24"/>
  <c r="O115" i="24"/>
  <c r="O214" i="24"/>
  <c r="M205" i="24"/>
  <c r="O67" i="24"/>
  <c r="O18" i="24"/>
  <c r="O179" i="24"/>
  <c r="M226" i="24"/>
  <c r="O16" i="24"/>
  <c r="N82" i="24"/>
  <c r="O82" i="24"/>
  <c r="N235" i="24"/>
  <c r="O235" i="24"/>
  <c r="L235" i="24"/>
  <c r="M235" i="24"/>
  <c r="N251" i="24"/>
  <c r="O251" i="24"/>
  <c r="L251" i="24"/>
  <c r="M251" i="24"/>
</calcChain>
</file>

<file path=xl/sharedStrings.xml><?xml version="1.0" encoding="utf-8"?>
<sst xmlns="http://schemas.openxmlformats.org/spreadsheetml/2006/main" count="1813" uniqueCount="457">
  <si>
    <t>In Progress</t>
  </si>
  <si>
    <t>New</t>
  </si>
  <si>
    <t>Geismar, LA</t>
  </si>
  <si>
    <t>BASF</t>
  </si>
  <si>
    <t>Other Chemicals</t>
  </si>
  <si>
    <t>Expansion</t>
  </si>
  <si>
    <t>Baton Rouge, LA</t>
  </si>
  <si>
    <t>ExxonMobil</t>
  </si>
  <si>
    <t>Plaquemine, LA</t>
  </si>
  <si>
    <t>Evonik Industries</t>
  </si>
  <si>
    <t>Vicksburg, MS</t>
  </si>
  <si>
    <t xml:space="preserve">Ergon Refining </t>
  </si>
  <si>
    <t>Mobile, AL</t>
  </si>
  <si>
    <t>Honeywell Specialty Materials</t>
  </si>
  <si>
    <t>Calvert City, KY</t>
  </si>
  <si>
    <t>Lubrizol</t>
  </si>
  <si>
    <t>Orange, TX</t>
  </si>
  <si>
    <t>LANXNESS</t>
  </si>
  <si>
    <t>MacIntosh, AL</t>
  </si>
  <si>
    <t>Huntsman Chemical</t>
  </si>
  <si>
    <t>Anna, OH</t>
  </si>
  <si>
    <t>Honda</t>
  </si>
  <si>
    <t>Airbus</t>
  </si>
  <si>
    <t>Athens, GA</t>
  </si>
  <si>
    <t>Caterpillar</t>
  </si>
  <si>
    <t>Bloomington, IL</t>
  </si>
  <si>
    <t>Bridgestone</t>
  </si>
  <si>
    <t>Anderson, SC</t>
  </si>
  <si>
    <t>Michelin</t>
  </si>
  <si>
    <t>Sumter, SC</t>
  </si>
  <si>
    <t>Continental</t>
  </si>
  <si>
    <t>Aiken, SC</t>
  </si>
  <si>
    <t>Fairbaul, MN</t>
  </si>
  <si>
    <t xml:space="preserve">Sage </t>
  </si>
  <si>
    <t xml:space="preserve">Tipp City OH </t>
  </si>
  <si>
    <t>Abbott</t>
  </si>
  <si>
    <t>Little Rock, AK</t>
  </si>
  <si>
    <t>NA</t>
  </si>
  <si>
    <t>mt/yr</t>
  </si>
  <si>
    <t>Welspun</t>
  </si>
  <si>
    <t>Metals</t>
  </si>
  <si>
    <t>Youngstown, OH</t>
  </si>
  <si>
    <t xml:space="preserve">Avalon Rare Metals </t>
  </si>
  <si>
    <t>St. James Parish, LA</t>
  </si>
  <si>
    <t>Nashwauk, MN</t>
  </si>
  <si>
    <t>Canton, OH</t>
  </si>
  <si>
    <t>Blytheville, AK</t>
  </si>
  <si>
    <t>St. Paul, MN</t>
  </si>
  <si>
    <t>Alcoa</t>
  </si>
  <si>
    <t>Limestone, AL</t>
  </si>
  <si>
    <t>Carpenter Technology</t>
  </si>
  <si>
    <t>Middleton, OH</t>
  </si>
  <si>
    <t>Metal-Matic</t>
  </si>
  <si>
    <t>Leipsic and Lorain, OH</t>
  </si>
  <si>
    <t>United States Steel</t>
  </si>
  <si>
    <t>Coilpus Inc</t>
  </si>
  <si>
    <t>Reading, PA</t>
  </si>
  <si>
    <t>Restart</t>
  </si>
  <si>
    <t>Cleveland OH</t>
  </si>
  <si>
    <t>Katoen Natie USA</t>
  </si>
  <si>
    <t>Plastics</t>
  </si>
  <si>
    <t>Portland, TN</t>
  </si>
  <si>
    <t>Kyowa America</t>
  </si>
  <si>
    <t>Greenville, MI</t>
  </si>
  <si>
    <t>Huntington Foam</t>
  </si>
  <si>
    <t>Corpus Christi, TX</t>
  </si>
  <si>
    <t>(d)mt/yr</t>
  </si>
  <si>
    <t>Chlor-Alkali</t>
  </si>
  <si>
    <t>Occidental</t>
  </si>
  <si>
    <t>Completed</t>
  </si>
  <si>
    <t>Mountain Pass, CA</t>
  </si>
  <si>
    <t>Molycorp Phase II</t>
  </si>
  <si>
    <t>Molycorp Phase I</t>
  </si>
  <si>
    <t>Freeport, TX</t>
  </si>
  <si>
    <t>Dow/Mitsui JV</t>
  </si>
  <si>
    <t>Blair, PA</t>
  </si>
  <si>
    <t>bpd</t>
  </si>
  <si>
    <t>Marcellus GTL</t>
  </si>
  <si>
    <t>GTL</t>
  </si>
  <si>
    <t>Lake Charles, LA</t>
  </si>
  <si>
    <t>Natchez, MS</t>
  </si>
  <si>
    <t>Karns City, PA</t>
  </si>
  <si>
    <t>Shell</t>
  </si>
  <si>
    <t>Sasol</t>
  </si>
  <si>
    <t>Planning</t>
  </si>
  <si>
    <t xml:space="preserve">Agrium </t>
  </si>
  <si>
    <t>Nachurs Alpine Solutions</t>
  </si>
  <si>
    <t>Grand Forks, ND</t>
  </si>
  <si>
    <t xml:space="preserve">Northern Plains Nitrogen </t>
  </si>
  <si>
    <t>FEED</t>
  </si>
  <si>
    <t>Beulah, ND</t>
  </si>
  <si>
    <t>Enid, OK</t>
  </si>
  <si>
    <t>Koch Nitrogen</t>
  </si>
  <si>
    <t>Spiritwood, ND</t>
  </si>
  <si>
    <t>CHS Inc.</t>
  </si>
  <si>
    <t xml:space="preserve">Ohio Valley Resources LLC </t>
  </si>
  <si>
    <t>New Orleans Area, LA</t>
  </si>
  <si>
    <t>Valero</t>
  </si>
  <si>
    <t>Methanol</t>
  </si>
  <si>
    <t>Relocation</t>
  </si>
  <si>
    <t>Methanex</t>
  </si>
  <si>
    <t>Mosaic</t>
  </si>
  <si>
    <t>Penwell, TX</t>
  </si>
  <si>
    <t xml:space="preserve">Summit Power </t>
  </si>
  <si>
    <t>Port Neal, IA</t>
  </si>
  <si>
    <t>Incl.</t>
  </si>
  <si>
    <t>CF Industries</t>
  </si>
  <si>
    <t>Donaldsonville, LA</t>
  </si>
  <si>
    <t>Orascom (OCI)</t>
  </si>
  <si>
    <t>Clear Lake, TX</t>
  </si>
  <si>
    <t>Permits</t>
  </si>
  <si>
    <t>Waggaman, LA</t>
  </si>
  <si>
    <t>Channelview, TX</t>
  </si>
  <si>
    <t>East Dubuque, IL</t>
  </si>
  <si>
    <t>Rentech Nitrogen</t>
  </si>
  <si>
    <t>Beaumont, TX</t>
  </si>
  <si>
    <t>Under Consideration</t>
  </si>
  <si>
    <t>Propylene</t>
  </si>
  <si>
    <t>Point Comfort, TX</t>
  </si>
  <si>
    <t>C3 Petrochemicals (PDH)</t>
  </si>
  <si>
    <t>Polyethylene</t>
  </si>
  <si>
    <t>LyondellBasell</t>
  </si>
  <si>
    <t>Wheeling, WV</t>
  </si>
  <si>
    <t>Appalachian Resins</t>
  </si>
  <si>
    <t>PTT Global Chemical</t>
  </si>
  <si>
    <t>Indorama Ventures</t>
  </si>
  <si>
    <t>Ingleside, TX</t>
  </si>
  <si>
    <t>Dow Chemical</t>
  </si>
  <si>
    <t>Baytown, TX</t>
  </si>
  <si>
    <t>Westlake Chemical</t>
  </si>
  <si>
    <t>Williams</t>
  </si>
  <si>
    <t xml:space="preserve">Expansion and New </t>
  </si>
  <si>
    <t>Marshall, WV (Ft. Wetzel)</t>
  </si>
  <si>
    <t>NG Fractionation</t>
  </si>
  <si>
    <t>Mt. Belvieu, TX</t>
  </si>
  <si>
    <t>Harrison, OH</t>
  </si>
  <si>
    <t>Acadia, LA</t>
  </si>
  <si>
    <t>Crosstex Energy Services (Eunice)</t>
  </si>
  <si>
    <t>Targa Resources (CBF Train 4)</t>
  </si>
  <si>
    <t>Ellsworth, KS</t>
  </si>
  <si>
    <t>OneOK Inc. (Bushton)</t>
  </si>
  <si>
    <t>Marshall, WV</t>
  </si>
  <si>
    <t xml:space="preserve">Chesapeake/M3/EV Energy </t>
  </si>
  <si>
    <t>Marshall, WV (Ft. Beeler)</t>
  </si>
  <si>
    <t>Marshall, WV (Moundsville III)</t>
  </si>
  <si>
    <t>Refugio, TX</t>
  </si>
  <si>
    <t>Sweetwater, UT</t>
  </si>
  <si>
    <t>Lone Star NGL</t>
  </si>
  <si>
    <t>Sweeny, TX</t>
  </si>
  <si>
    <t>Marhsall, WV (Moundsville II)</t>
  </si>
  <si>
    <t>Gulf Coast Fractionators</t>
  </si>
  <si>
    <t>Project Status</t>
  </si>
  <si>
    <t>Project Type</t>
  </si>
  <si>
    <t>Investment $</t>
  </si>
  <si>
    <t>Row Labels</t>
  </si>
  <si>
    <t>Grand Total</t>
  </si>
  <si>
    <t>US Nitrogen</t>
  </si>
  <si>
    <t>Column Labels</t>
  </si>
  <si>
    <t>G2X</t>
  </si>
  <si>
    <t>V&amp;M Star LP (Vallourec Group)</t>
  </si>
  <si>
    <t>Monaca, PA</t>
  </si>
  <si>
    <t>Port Arthur, TX</t>
  </si>
  <si>
    <t>Mont Belvieu, TX</t>
  </si>
  <si>
    <t>BASF Total Petrochemicals</t>
  </si>
  <si>
    <t>Aither Chemical</t>
  </si>
  <si>
    <t>Startup Date</t>
  </si>
  <si>
    <t>Benteler</t>
  </si>
  <si>
    <t>Shreveport,LA</t>
  </si>
  <si>
    <t>Manufacturing</t>
  </si>
  <si>
    <t>Leucadia Energy</t>
  </si>
  <si>
    <t> Mobile, AL</t>
  </si>
  <si>
    <t>Pampa, TX</t>
  </si>
  <si>
    <t>MTG</t>
  </si>
  <si>
    <t>(Multiple Items)</t>
  </si>
  <si>
    <t>Westlake, LA</t>
  </si>
  <si>
    <t>Midwest</t>
  </si>
  <si>
    <t>Borger, TX</t>
  </si>
  <si>
    <t>Arkema</t>
  </si>
  <si>
    <t>Clear Lake and Bayport, TX</t>
  </si>
  <si>
    <t>Ascend Performance Materials</t>
  </si>
  <si>
    <t>Alvin, TX</t>
  </si>
  <si>
    <t>Seneca, SC</t>
  </si>
  <si>
    <t>Chattanooga, TN</t>
  </si>
  <si>
    <t>La Porte, TX</t>
  </si>
  <si>
    <t>Sidney, OH</t>
  </si>
  <si>
    <t>Cronus Chemical</t>
  </si>
  <si>
    <t>Tuscola, IL</t>
  </si>
  <si>
    <t>Cytec Industries</t>
  </si>
  <si>
    <t>Piedmont, SC</t>
  </si>
  <si>
    <t>Greenville, TX</t>
  </si>
  <si>
    <t>DuPont</t>
  </si>
  <si>
    <t>Circleville, OH</t>
  </si>
  <si>
    <t>Eastman Chemical</t>
  </si>
  <si>
    <t>Kingsport, TN</t>
  </si>
  <si>
    <t>EuroChem</t>
  </si>
  <si>
    <t>Flow Polymer LLC</t>
  </si>
  <si>
    <t>Cleveland, OH</t>
  </si>
  <si>
    <t>GI Plastek Wolfeboro LLC</t>
  </si>
  <si>
    <t>Wolfeboro, NH</t>
  </si>
  <si>
    <t>M&amp;G Group (Grupo Mossi &amp; Ghisolfi)</t>
  </si>
  <si>
    <t>HF Chlor-Alkali</t>
  </si>
  <si>
    <t>Eddyville, IA</t>
  </si>
  <si>
    <t>ICL Industrial Product</t>
  </si>
  <si>
    <t>Gallipolis Ferry, WV</t>
  </si>
  <si>
    <t>TPC Group</t>
  </si>
  <si>
    <t>Houston, TX</t>
  </si>
  <si>
    <t>South Louisiana Methanol (A partnership of ZEEP and Todd Corp )</t>
  </si>
  <si>
    <t>Solvay</t>
  </si>
  <si>
    <t>Green River, WY</t>
  </si>
  <si>
    <t>Sasol/INEOS JV</t>
  </si>
  <si>
    <t>Rextac</t>
  </si>
  <si>
    <t>Odessa, TX</t>
  </si>
  <si>
    <t>PotashCorp</t>
  </si>
  <si>
    <t>Lima, OH</t>
  </si>
  <si>
    <t>Idemistu/Mitsui JV</t>
  </si>
  <si>
    <t>Decatur, AL</t>
  </si>
  <si>
    <t>INEOS</t>
  </si>
  <si>
    <t>Invista</t>
  </si>
  <si>
    <t>Victoria, TX</t>
  </si>
  <si>
    <t>Kaneka</t>
  </si>
  <si>
    <t>Pasadena, TX</t>
  </si>
  <si>
    <t>Dodge City, KS</t>
  </si>
  <si>
    <t>Beatrice, NE</t>
  </si>
  <si>
    <t>Kuraray Americas</t>
  </si>
  <si>
    <t>Gastonia, NC</t>
  </si>
  <si>
    <t>Deer Park, TX</t>
  </si>
  <si>
    <t>Midwest Fertilizer</t>
  </si>
  <si>
    <t xml:space="preserve">Cancelled </t>
  </si>
  <si>
    <t>SGC Energia SA/Great Northern Project Development (Juniper)</t>
  </si>
  <si>
    <t>Lonestar NGL (MB2)</t>
  </si>
  <si>
    <t>Davenport, IA</t>
  </si>
  <si>
    <t>Alcoa, TN</t>
  </si>
  <si>
    <t>Lafayette, IN</t>
  </si>
  <si>
    <t>tires/d</t>
  </si>
  <si>
    <t>Essar Steel</t>
  </si>
  <si>
    <t>Nucor</t>
  </si>
  <si>
    <t>Gerdau</t>
  </si>
  <si>
    <t>Boardwalk Pipeline Partners</t>
  </si>
  <si>
    <t>Edna, TX</t>
  </si>
  <si>
    <t>Targa Resources</t>
  </si>
  <si>
    <t>Wise County, TX</t>
  </si>
  <si>
    <t>OneOK Inc. (MB2)</t>
  </si>
  <si>
    <t>OneOK Inc. (MB3)</t>
  </si>
  <si>
    <t>Phillips 66</t>
  </si>
  <si>
    <t>Old Ocean, TX</t>
  </si>
  <si>
    <t>TX</t>
  </si>
  <si>
    <t>LA</t>
  </si>
  <si>
    <t>Included in the base demand</t>
  </si>
  <si>
    <t>Base Demand (2012)</t>
  </si>
  <si>
    <t>Northwest Innovation Works</t>
  </si>
  <si>
    <t>Kalama, WA</t>
  </si>
  <si>
    <t>Shell Chemical</t>
  </si>
  <si>
    <t>St. Charles, LA</t>
  </si>
  <si>
    <t>Suspended</t>
  </si>
  <si>
    <t>Mt. Vernon, IN</t>
  </si>
  <si>
    <t>t/yr</t>
  </si>
  <si>
    <t>Wood County, WV</t>
  </si>
  <si>
    <t>EmberClear</t>
  </si>
  <si>
    <t xml:space="preserve"> </t>
  </si>
  <si>
    <t>Berks, PA</t>
  </si>
  <si>
    <t>Ashtabula, OH</t>
  </si>
  <si>
    <t>LaPorte, TX</t>
  </si>
  <si>
    <t>permits</t>
  </si>
  <si>
    <t>Capacity</t>
  </si>
  <si>
    <t>Praxair</t>
  </si>
  <si>
    <t>Hydrogen</t>
  </si>
  <si>
    <t>MMSCFD</t>
  </si>
  <si>
    <t>Refinery</t>
  </si>
  <si>
    <t>bbl/sd</t>
  </si>
  <si>
    <t>Dickinson, ND</t>
  </si>
  <si>
    <t>Kinder Morgan </t>
  </si>
  <si>
    <t>Air Products</t>
  </si>
  <si>
    <t>Lotte Chemical</t>
  </si>
  <si>
    <t>Matagorda County, TX</t>
  </si>
  <si>
    <t>Celanese/Mitsui JV</t>
  </si>
  <si>
    <t>Port of Tacoma, WA</t>
  </si>
  <si>
    <t>BioNitrogen</t>
  </si>
  <si>
    <t>Pointe Coupee Parish, LA</t>
  </si>
  <si>
    <t>Incitec Pivot (Acquisition of Dyno Nobel)</t>
  </si>
  <si>
    <t>El Dorado, AR</t>
  </si>
  <si>
    <t xml:space="preserve">Dow Chemical </t>
  </si>
  <si>
    <t>Markwest Utica</t>
  </si>
  <si>
    <t>ArcelorMittal</t>
  </si>
  <si>
    <t>Calumet Specialty Products Partners</t>
  </si>
  <si>
    <t>Dominion Transmission</t>
  </si>
  <si>
    <t>Mitsui Chemicals</t>
  </si>
  <si>
    <t>QEP Energy Resources</t>
  </si>
  <si>
    <t>Southcross Energy</t>
  </si>
  <si>
    <t>Celanese</t>
  </si>
  <si>
    <t>Bishop, TX</t>
  </si>
  <si>
    <t>Dakota Gasification</t>
  </si>
  <si>
    <t>Longview, TX</t>
  </si>
  <si>
    <t>Enterprise Products</t>
  </si>
  <si>
    <t>Marietta, OH</t>
  </si>
  <si>
    <t>AM Agrigen Industries</t>
  </si>
  <si>
    <t>St Charles Parish, LA</t>
  </si>
  <si>
    <t>Formosa Plastics</t>
  </si>
  <si>
    <t>Port Neches, TX</t>
  </si>
  <si>
    <t>Mexichem/OxyChem</t>
  </si>
  <si>
    <t>Magnolia Nitrogen Idaho</t>
  </si>
  <si>
    <t>American Falls, ID</t>
  </si>
  <si>
    <t>OCI N.V. (Natgasoline LLC)</t>
  </si>
  <si>
    <t>PotashCorp (PCS Nitrogen)</t>
  </si>
  <si>
    <t>Flint Hills Resources (Acquisition of Petrologistics)</t>
  </si>
  <si>
    <t>Shin-Etsu (Shintech)</t>
  </si>
  <si>
    <t>Greeneville, TN</t>
  </si>
  <si>
    <t>BASF/Yara JV</t>
  </si>
  <si>
    <t>LSB Industries (El Dorado Chemical)</t>
  </si>
  <si>
    <t>Rock Spring, WY</t>
  </si>
  <si>
    <t>LSB Industries (Pryor Chemical Company)</t>
  </si>
  <si>
    <t>Pryor, OK</t>
  </si>
  <si>
    <t>Hendry, Florida</t>
  </si>
  <si>
    <t>Nitrogen fertilizers</t>
  </si>
  <si>
    <t>Simplot</t>
  </si>
  <si>
    <t>OCI N.V. (OCI Iowa Fertilizer)</t>
  </si>
  <si>
    <t>Ethylene</t>
  </si>
  <si>
    <t>AFCO Industries</t>
  </si>
  <si>
    <t>Olmsted, IL</t>
  </si>
  <si>
    <t>Braddock, PA</t>
  </si>
  <si>
    <t>Ironwood Plastics Inc</t>
  </si>
  <si>
    <t>Two Rivers, WS</t>
  </si>
  <si>
    <t>Aluminum</t>
  </si>
  <si>
    <t>Steel</t>
  </si>
  <si>
    <t>Timken steel</t>
  </si>
  <si>
    <t>Sundrop</t>
  </si>
  <si>
    <t>Alexandria, LA</t>
  </si>
  <si>
    <t>Velocys plc (Pinto)</t>
  </si>
  <si>
    <t>Sweetwater,WY</t>
  </si>
  <si>
    <t xml:space="preserve">Carbon Sciences </t>
  </si>
  <si>
    <t>Primus Green Energy</t>
  </si>
  <si>
    <t>Steel Product Manufacturing</t>
  </si>
  <si>
    <t>Fabricated Metal</t>
  </si>
  <si>
    <t>Other Metals</t>
  </si>
  <si>
    <t>MEGlobal (Dow&amp;Petrochemical Industries Co)</t>
  </si>
  <si>
    <t>St. John the Baptist Parish, LA</t>
  </si>
  <si>
    <t>ExxonMobile/Sabic</t>
  </si>
  <si>
    <t>Mitsui Chemicals (Prime Polymer)</t>
  </si>
  <si>
    <t>NCRA-National Cooperative Refinery Association (CHS)</t>
  </si>
  <si>
    <t>Chocolate Bayou, TX</t>
  </si>
  <si>
    <t>Chevron Phillips Chemical</t>
  </si>
  <si>
    <t>Badlands</t>
  </si>
  <si>
    <t xml:space="preserve">Greyrock Energy/Nerd Gas </t>
  </si>
  <si>
    <t>Oklahoma City, OK</t>
  </si>
  <si>
    <t>Ingleside Ethylene LLC</t>
  </si>
  <si>
    <t>Total SA</t>
  </si>
  <si>
    <t>Yuhuang Chemical Inc</t>
  </si>
  <si>
    <t>Plant Type</t>
  </si>
  <si>
    <t>Axaill/Lotte JV</t>
  </si>
  <si>
    <t>ENVIA Energy (Velocys JV)</t>
  </si>
  <si>
    <t>Shangri-La</t>
  </si>
  <si>
    <t>Braskem (Ascent)</t>
  </si>
  <si>
    <t>_Base demand</t>
  </si>
  <si>
    <t>Shintech</t>
  </si>
  <si>
    <t>Belmont County, OH</t>
  </si>
  <si>
    <t>US GTL (Nerd gas &amp; Greyrock)</t>
  </si>
  <si>
    <t>Nikiski, AK</t>
  </si>
  <si>
    <t>Martinsville, WV</t>
  </si>
  <si>
    <t>Castleton Commodities</t>
  </si>
  <si>
    <t>Dyno Nobel</t>
  </si>
  <si>
    <t> mt/yr </t>
  </si>
  <si>
    <t>Connell Group-Chemical Inv Corp</t>
  </si>
  <si>
    <t>Grannus LLC</t>
  </si>
  <si>
    <t>Kern County, CA</t>
  </si>
  <si>
    <t>Gulf Coast Ammonia (Borealis &amp; Agrifos)</t>
  </si>
  <si>
    <t>Gulf Coast, TX</t>
  </si>
  <si>
    <t>Investimus Foris</t>
  </si>
  <si>
    <t>Grant Parish, LA</t>
  </si>
  <si>
    <t>Iowa Fertilizer Co</t>
  </si>
  <si>
    <t>Wever, IA</t>
  </si>
  <si>
    <t>Clatskanie, OR</t>
  </si>
  <si>
    <t>Pacific Northwest</t>
  </si>
  <si>
    <t>Longview, WA</t>
  </si>
  <si>
    <t>Pallas Nitrogen</t>
  </si>
  <si>
    <t>Phibro</t>
  </si>
  <si>
    <t>West Terre Haute, IN</t>
  </si>
  <si>
    <t>Augusta, GA</t>
  </si>
  <si>
    <t>Niagara Falls, NY</t>
  </si>
  <si>
    <t>Sunoco Logistics</t>
  </si>
  <si>
    <t>Marcus Hook, PA</t>
  </si>
  <si>
    <t>Syngas Energy Holdings</t>
  </si>
  <si>
    <t>US Methanol</t>
  </si>
  <si>
    <t>Belle, WV</t>
  </si>
  <si>
    <t>Sulphur, LA</t>
  </si>
  <si>
    <t>Zeogas</t>
  </si>
  <si>
    <t>Base Demand (2016)</t>
  </si>
  <si>
    <t>Sum of Investment $</t>
  </si>
  <si>
    <t>Rockport, IN</t>
  </si>
  <si>
    <t>OH</t>
  </si>
  <si>
    <t>City</t>
  </si>
  <si>
    <t>State</t>
  </si>
  <si>
    <t>ND</t>
  </si>
  <si>
    <t>FL</t>
  </si>
  <si>
    <t>Unit</t>
  </si>
  <si>
    <t>Utilization</t>
  </si>
  <si>
    <t>NG Cons (Low) MMBTU</t>
  </si>
  <si>
    <t>NG Cons (Low) BCFD</t>
  </si>
  <si>
    <t>NG Cons (High) MMBTU</t>
  </si>
  <si>
    <t>NG Cons (High) BCFD</t>
  </si>
  <si>
    <t>Company</t>
  </si>
  <si>
    <t>NC</t>
  </si>
  <si>
    <t>Crosstex Energy Services (phase 2)</t>
  </si>
  <si>
    <t>Newell, WV</t>
  </si>
  <si>
    <t>Appalachia</t>
  </si>
  <si>
    <t>Houston (Ship Channel), TX</t>
  </si>
  <si>
    <t>Faustina, LA</t>
  </si>
  <si>
    <t>Iberville Parish, LA</t>
  </si>
  <si>
    <t>McPherson, KS</t>
  </si>
  <si>
    <t>Kirtland, NM</t>
  </si>
  <si>
    <t>WV</t>
  </si>
  <si>
    <t>Marshall, WV (Moundsville I)</t>
  </si>
  <si>
    <t>Dakota Prairie</t>
  </si>
  <si>
    <t>MarkWest Liberty Midstream</t>
  </si>
  <si>
    <t>Washington (Houston), PA</t>
  </si>
  <si>
    <t>SC</t>
  </si>
  <si>
    <t>In 2013, CEE started developing this industrial projects database to conduct a bottom-up analysis of natural gas demand growth potential in the U.S. industrial sector.</t>
  </si>
  <si>
    <t>Since 2015, we focused on gas-intensive and petrochemicals industries and stopped tracking other industries although original facilities can still be found in this database.</t>
  </si>
  <si>
    <t>Facilities included in the database:</t>
  </si>
  <si>
    <t xml:space="preserve">In some cases, one of those numbers was not available. We estimated the missing value based on the average relationship between capacity and cost for the facility type. </t>
  </si>
  <si>
    <t>Natural gas consumption:</t>
  </si>
  <si>
    <t>We report a low and a high case for each facility that are a function of the utilization rate.</t>
  </si>
  <si>
    <t xml:space="preserve">For each facility type, gas use estimates are based on academic studies, industry reporting and, in a few cases, bottom-up calculations. </t>
  </si>
  <si>
    <t>We welcome input on the gas use assumptions.</t>
  </si>
  <si>
    <t xml:space="preserve">Contact CEE @ </t>
  </si>
  <si>
    <t xml:space="preserve">energyecon@beg.utexas.edu  </t>
  </si>
  <si>
    <r>
      <t xml:space="preserve">When both numbers were missing, we left those entries blank.  </t>
    </r>
    <r>
      <rPr>
        <sz val="14"/>
        <color rgb="FFFF0000"/>
        <rFont val="Calibri"/>
        <family val="2"/>
        <scheme val="minor"/>
      </rPr>
      <t xml:space="preserve">We welcome data to fill the gaps and to correct our estimates. </t>
    </r>
  </si>
  <si>
    <t>biomass instead of gas</t>
  </si>
  <si>
    <t>In the beginning, we included refineries, metals, aluminum, plastics, and other manufacturing facilities. We also tracked fractionation facilities.</t>
  </si>
  <si>
    <t xml:space="preserve">These facilities proved too many to track. It was difficult to estimate the incremental natural gas use. </t>
  </si>
  <si>
    <t>Fractionation facilities are still important to understand gas &amp; NGL value chains but don't represent new gas demand on their own.</t>
  </si>
  <si>
    <t>In most cases, investment and capacity estimates are those reported by the companies or in industry publications.</t>
  </si>
  <si>
    <t>Investment &amp; plant capacity:</t>
  </si>
  <si>
    <t>Johnsonville, TN</t>
  </si>
  <si>
    <t>We do not provide gas use estimates for some types of facilities without a credible average gas use estimates (e.g., other chemicals).</t>
  </si>
  <si>
    <t>Enterprise Products (MB1 Train 6)</t>
  </si>
  <si>
    <t>Enterprise Products (MB1 Train 7)</t>
  </si>
  <si>
    <t>Enterprise Products (MB1 Train 8)</t>
  </si>
  <si>
    <t>Enterprise Products (WTX 1)</t>
  </si>
  <si>
    <t>(All)</t>
  </si>
  <si>
    <t>Sum of NG Cons (High) BCFD</t>
  </si>
  <si>
    <t>AK</t>
  </si>
  <si>
    <t>AL</t>
  </si>
  <si>
    <t>AR</t>
  </si>
  <si>
    <t>CA</t>
  </si>
  <si>
    <t>IA</t>
  </si>
  <si>
    <t>ID</t>
  </si>
  <si>
    <t>IL</t>
  </si>
  <si>
    <t>IN</t>
  </si>
  <si>
    <t>KS</t>
  </si>
  <si>
    <t>KY</t>
  </si>
  <si>
    <t>MS</t>
  </si>
  <si>
    <t>NE</t>
  </si>
  <si>
    <t>NY</t>
  </si>
  <si>
    <t>OK</t>
  </si>
  <si>
    <t>OR</t>
  </si>
  <si>
    <t>TN</t>
  </si>
  <si>
    <t>WA</t>
  </si>
  <si>
    <t>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</si>
</sst>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_(* #,##0_);_(* \(#,##0\);_(* &quot;-&quot;??_);_(@_)"/>
    <numFmt numFmtId="166" formatCode="_(&quot;$&quot;* #,##0_);_(&quot;$&quot;* \(#,##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1"/>
      <color theme="9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9"/>
      <color rgb="FF000000"/>
      <name val="Times New Roman"/>
      <family val="1"/>
    </font>
    <font>
      <sz val="11"/>
      <color rgb="FF9C65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8" fillId="3" borderId="0" applyNumberFormat="0" applyBorder="0" applyAlignment="0" applyProtection="0"/>
    <xf numFmtId="0" fontId="13" fillId="4" borderId="0" applyNumberFormat="0" applyBorder="0" applyAlignment="0" applyProtection="0"/>
  </cellStyleXfs>
  <cellXfs count="70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9" fontId="0" fillId="0" borderId="0" xfId="0" applyNumberFormat="1"/>
    <xf numFmtId="2" fontId="0" fillId="0" borderId="0" xfId="0" applyNumberFormat="1"/>
    <xf numFmtId="1" fontId="0" fillId="0" borderId="0" xfId="0" applyNumberFormat="1"/>
    <xf numFmtId="1" fontId="0" fillId="0" borderId="0" xfId="0" applyNumberFormat="1" applyFill="1"/>
    <xf numFmtId="1" fontId="4" fillId="0" borderId="0" xfId="0" applyNumberFormat="1" applyFont="1" applyFill="1" applyBorder="1" applyAlignment="1"/>
    <xf numFmtId="165" fontId="0" fillId="0" borderId="0" xfId="1" applyNumberFormat="1" applyFont="1"/>
    <xf numFmtId="1" fontId="3" fillId="0" borderId="0" xfId="0" applyNumberFormat="1" applyFont="1" applyFill="1" applyBorder="1" applyAlignment="1">
      <alignment wrapText="1"/>
    </xf>
    <xf numFmtId="1" fontId="3" fillId="0" borderId="1" xfId="0" applyNumberFormat="1" applyFont="1" applyFill="1" applyBorder="1" applyAlignment="1">
      <alignment wrapText="1"/>
    </xf>
    <xf numFmtId="165" fontId="3" fillId="0" borderId="1" xfId="1" applyNumberFormat="1" applyFont="1" applyFill="1" applyBorder="1" applyAlignment="1">
      <alignment wrapText="1"/>
    </xf>
    <xf numFmtId="9" fontId="3" fillId="0" borderId="1" xfId="0" applyNumberFormat="1" applyFont="1" applyFill="1" applyBorder="1" applyAlignment="1">
      <alignment wrapText="1"/>
    </xf>
    <xf numFmtId="0" fontId="0" fillId="0" borderId="0" xfId="0" applyFill="1"/>
    <xf numFmtId="1" fontId="7" fillId="0" borderId="0" xfId="0" applyNumberFormat="1" applyFont="1" applyFill="1"/>
    <xf numFmtId="1" fontId="6" fillId="0" borderId="0" xfId="0" applyNumberFormat="1" applyFont="1" applyFill="1" applyAlignment="1"/>
    <xf numFmtId="1" fontId="5" fillId="0" borderId="0" xfId="0" applyNumberFormat="1" applyFont="1" applyFill="1"/>
    <xf numFmtId="1" fontId="9" fillId="0" borderId="0" xfId="0" applyNumberFormat="1" applyFont="1" applyFill="1"/>
    <xf numFmtId="1" fontId="10" fillId="0" borderId="0" xfId="0" applyNumberFormat="1" applyFont="1" applyFill="1"/>
    <xf numFmtId="165" fontId="0" fillId="0" borderId="0" xfId="1" applyNumberFormat="1" applyFont="1" applyFill="1"/>
    <xf numFmtId="9" fontId="0" fillId="0" borderId="0" xfId="0" applyNumberFormat="1" applyFill="1"/>
    <xf numFmtId="43" fontId="0" fillId="0" borderId="0" xfId="1" applyNumberFormat="1" applyFont="1" applyFill="1"/>
    <xf numFmtId="4" fontId="0" fillId="0" borderId="0" xfId="0" applyNumberFormat="1" applyFill="1"/>
    <xf numFmtId="1" fontId="11" fillId="0" borderId="0" xfId="0" applyNumberFormat="1" applyFont="1" applyFill="1"/>
    <xf numFmtId="3" fontId="12" fillId="0" borderId="0" xfId="0" applyNumberFormat="1" applyFont="1"/>
    <xf numFmtId="1" fontId="4" fillId="0" borderId="0" xfId="0" applyNumberFormat="1" applyFont="1" applyFill="1" applyAlignment="1"/>
    <xf numFmtId="1" fontId="3" fillId="0" borderId="2" xfId="0" applyNumberFormat="1" applyFont="1" applyFill="1" applyBorder="1" applyAlignment="1">
      <alignment wrapText="1"/>
    </xf>
    <xf numFmtId="1" fontId="6" fillId="0" borderId="0" xfId="0" applyNumberFormat="1" applyFont="1" applyFill="1"/>
    <xf numFmtId="1" fontId="0" fillId="2" borderId="0" xfId="0" applyNumberFormat="1" applyFill="1"/>
    <xf numFmtId="1" fontId="9" fillId="0" borderId="0" xfId="0" applyNumberFormat="1" applyFont="1" applyFill="1" applyBorder="1" applyAlignment="1"/>
    <xf numFmtId="1" fontId="9" fillId="0" borderId="0" xfId="0" applyNumberFormat="1" applyFont="1" applyFill="1" applyAlignment="1"/>
    <xf numFmtId="44" fontId="9" fillId="0" borderId="0" xfId="2" applyFont="1" applyFill="1" applyBorder="1" applyAlignment="1"/>
    <xf numFmtId="43" fontId="9" fillId="0" borderId="0" xfId="1" applyFont="1" applyFill="1" applyBorder="1" applyAlignment="1"/>
    <xf numFmtId="9" fontId="9" fillId="0" borderId="0" xfId="1" applyNumberFormat="1" applyFont="1" applyFill="1" applyBorder="1" applyAlignment="1"/>
    <xf numFmtId="165" fontId="9" fillId="0" borderId="0" xfId="1" applyNumberFormat="1" applyFont="1" applyFill="1" applyBorder="1" applyAlignment="1"/>
    <xf numFmtId="2" fontId="9" fillId="0" borderId="0" xfId="0" applyNumberFormat="1" applyFont="1" applyFill="1" applyBorder="1" applyAlignment="1"/>
    <xf numFmtId="1" fontId="0" fillId="0" borderId="0" xfId="0" applyNumberFormat="1" applyFont="1" applyFill="1"/>
    <xf numFmtId="1" fontId="9" fillId="0" borderId="0" xfId="0" applyNumberFormat="1" applyFont="1" applyFill="1" applyBorder="1" applyAlignment="1">
      <alignment horizontal="right"/>
    </xf>
    <xf numFmtId="166" fontId="9" fillId="0" borderId="0" xfId="2" applyNumberFormat="1" applyFont="1" applyFill="1" applyBorder="1" applyAlignment="1"/>
    <xf numFmtId="1" fontId="9" fillId="0" borderId="0" xfId="1" applyNumberFormat="1" applyFont="1" applyFill="1" applyBorder="1" applyAlignment="1"/>
    <xf numFmtId="9" fontId="9" fillId="0" borderId="0" xfId="0" applyNumberFormat="1" applyFont="1" applyFill="1" applyBorder="1" applyAlignment="1"/>
    <xf numFmtId="1" fontId="9" fillId="0" borderId="0" xfId="6" applyNumberFormat="1" applyFont="1" applyFill="1" applyBorder="1" applyAlignment="1"/>
    <xf numFmtId="166" fontId="9" fillId="0" borderId="0" xfId="6" applyNumberFormat="1" applyFont="1" applyFill="1" applyBorder="1" applyAlignment="1"/>
    <xf numFmtId="165" fontId="9" fillId="0" borderId="0" xfId="6" applyNumberFormat="1" applyFont="1" applyFill="1" applyBorder="1" applyAlignment="1"/>
    <xf numFmtId="43" fontId="9" fillId="0" borderId="0" xfId="6" applyNumberFormat="1" applyFont="1" applyFill="1" applyBorder="1" applyAlignment="1"/>
    <xf numFmtId="9" fontId="9" fillId="0" borderId="0" xfId="4" applyFont="1" applyFill="1" applyBorder="1" applyAlignment="1"/>
    <xf numFmtId="2" fontId="9" fillId="0" borderId="0" xfId="6" applyNumberFormat="1" applyFont="1" applyFill="1" applyBorder="1" applyAlignment="1"/>
    <xf numFmtId="1" fontId="9" fillId="0" borderId="0" xfId="5" applyNumberFormat="1" applyFont="1" applyFill="1" applyBorder="1" applyAlignment="1"/>
    <xf numFmtId="165" fontId="9" fillId="0" borderId="0" xfId="5" applyNumberFormat="1" applyFont="1" applyFill="1" applyBorder="1" applyAlignment="1"/>
    <xf numFmtId="9" fontId="9" fillId="0" borderId="0" xfId="5" applyNumberFormat="1" applyFont="1" applyFill="1" applyBorder="1" applyAlignment="1"/>
    <xf numFmtId="2" fontId="9" fillId="0" borderId="0" xfId="5" applyNumberFormat="1" applyFont="1" applyFill="1" applyBorder="1" applyAlignment="1"/>
    <xf numFmtId="1" fontId="1" fillId="0" borderId="0" xfId="0" applyNumberFormat="1" applyFont="1" applyFill="1"/>
    <xf numFmtId="43" fontId="9" fillId="0" borderId="0" xfId="1" applyFont="1" applyFill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3" applyFont="1"/>
    <xf numFmtId="1" fontId="9" fillId="0" borderId="0" xfId="5" applyNumberFormat="1" applyFont="1" applyFill="1" applyBorder="1" applyAlignment="1">
      <alignment horizontal="right"/>
    </xf>
    <xf numFmtId="166" fontId="9" fillId="0" borderId="0" xfId="2" applyNumberFormat="1" applyFont="1" applyFill="1" applyBorder="1"/>
    <xf numFmtId="165" fontId="9" fillId="0" borderId="0" xfId="1" applyNumberFormat="1" applyFont="1" applyFill="1" applyBorder="1"/>
    <xf numFmtId="1" fontId="9" fillId="0" borderId="0" xfId="0" applyNumberFormat="1" applyFont="1" applyFill="1" applyBorder="1"/>
    <xf numFmtId="0" fontId="9" fillId="0" borderId="0" xfId="0" applyFont="1" applyFill="1"/>
    <xf numFmtId="164" fontId="9" fillId="0" borderId="0" xfId="2" applyNumberFormat="1" applyFont="1" applyFill="1" applyBorder="1" applyAlignment="1"/>
    <xf numFmtId="1" fontId="9" fillId="0" borderId="0" xfId="2" applyNumberFormat="1" applyFont="1" applyFill="1" applyBorder="1" applyAlignment="1"/>
    <xf numFmtId="1" fontId="9" fillId="0" borderId="0" xfId="3" applyNumberFormat="1" applyFont="1" applyFill="1" applyBorder="1" applyAlignment="1"/>
    <xf numFmtId="165" fontId="9" fillId="0" borderId="0" xfId="1" applyNumberFormat="1" applyFont="1" applyFill="1"/>
    <xf numFmtId="9" fontId="9" fillId="0" borderId="0" xfId="0" applyNumberFormat="1" applyFont="1" applyFill="1"/>
    <xf numFmtId="166" fontId="9" fillId="0" borderId="0" xfId="5" applyNumberFormat="1" applyFont="1" applyFill="1" applyBorder="1" applyAlignment="1"/>
    <xf numFmtId="166" fontId="0" fillId="0" borderId="0" xfId="0" applyNumberFormat="1"/>
    <xf numFmtId="0" fontId="0" fillId="0" borderId="0" xfId="0" applyAlignment="1">
      <alignment wrapText="1"/>
    </xf>
  </cellXfs>
  <cellStyles count="7">
    <cellStyle name="Bad" xfId="5" builtinId="27"/>
    <cellStyle name="Comma" xfId="1" builtinId="3"/>
    <cellStyle name="Currency" xfId="2" builtinId="4"/>
    <cellStyle name="Hyperlink" xfId="3" builtinId="8"/>
    <cellStyle name="Neutral" xfId="6" builtinId="28"/>
    <cellStyle name="Normal" xfId="0" builtinId="0"/>
    <cellStyle name="Percent" xfId="4" builtinId="5"/>
  </cellStyles>
  <dxfs count="105">
    <dxf>
      <numFmt numFmtId="169" formatCode="_(&quot;$&quot;* #,##0.0_);_(&quot;$&quot;* \(#,##0.0\);_(&quot;$&quot;* &quot;-&quot;??_);_(@_)"/>
    </dxf>
    <dxf>
      <numFmt numFmtId="166" formatCode="_(&quot;$&quot;* #,##0_);_(&quot;$&quot;* \(#,##0\);_(&quot;$&quot;* &quot;-&quot;??_);_(@_)"/>
    </dxf>
    <dxf>
      <numFmt numFmtId="169" formatCode="_(&quot;$&quot;* #,##0.0_);_(&quot;$&quot;* \(#,##0.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2" formatCode="0.0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2" formatCode="0.0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166" formatCode="_(&quot;$&quot;* #,##0_);_(&quot;$&quot;* \(#,##0\);_(&quot;$&quot;* &quot;-&quot;??_);_(@_)"/>
    </dxf>
    <dxf>
      <numFmt numFmtId="2" formatCode="0.0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167" formatCode="0.000"/>
    </dxf>
    <dxf>
      <numFmt numFmtId="2" formatCode="0.00"/>
    </dxf>
    <dxf>
      <numFmt numFmtId="164" formatCode="0.0000"/>
    </dxf>
    <dxf>
      <numFmt numFmtId="173" formatCode="0.00000"/>
    </dxf>
    <dxf>
      <numFmt numFmtId="172" formatCode="0.000000"/>
    </dxf>
    <dxf>
      <numFmt numFmtId="171" formatCode="0.0000000"/>
    </dxf>
    <dxf>
      <numFmt numFmtId="170" formatCode="0.00000000"/>
    </dxf>
    <dxf>
      <numFmt numFmtId="166" formatCode="_(&quot;$&quot;* #,##0_);_(&quot;$&quot;* \(#,##0\);_(&quot;$&quot;* &quot;-&quot;??_);_(@_)"/>
    </dxf>
    <dxf>
      <numFmt numFmtId="166" formatCode="_(&quot;$&quot;* #,##0_);_(&quot;$&quot;* \(#,##0\);_(&quot;$&quot;* &quot;-&quot;??_);_(@_)"/>
    </dxf>
    <dxf>
      <numFmt numFmtId="166" formatCode="_(&quot;$&quot;* #,##0_);_(&quot;$&quot;* \(#,##0\);_(&quot;$&quot;* &quot;-&quot;??_);_(@_)"/>
    </dxf>
    <dxf>
      <numFmt numFmtId="166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[CEE Industrial Projects Database.xlsx]Investment!PivotTable1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Investment!$B$5:$B$6</c:f>
              <c:strCache>
                <c:ptCount val="1"/>
                <c:pt idx="0">
                  <c:v>Chlor-Alkali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Investment!$A$7:$A$17</c:f>
              <c:strCach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2022</c:v>
                </c:pt>
                <c:pt idx="9">
                  <c:v>NA</c:v>
                </c:pt>
              </c:strCache>
            </c:strRef>
          </c:cat>
          <c:val>
            <c:numRef>
              <c:f>Investment!$B$7:$B$17</c:f>
              <c:numCache>
                <c:formatCode>_("$"* #,##0_);_("$"* \(#,##0\);_("$"* "-"??_);_(@_)</c:formatCode>
                <c:ptCount val="10"/>
                <c:pt idx="0">
                  <c:v>850000000</c:v>
                </c:pt>
                <c:pt idx="1">
                  <c:v>1106000000</c:v>
                </c:pt>
              </c:numCache>
            </c:numRef>
          </c:val>
        </c:ser>
        <c:ser>
          <c:idx val="1"/>
          <c:order val="1"/>
          <c:tx>
            <c:strRef>
              <c:f>Investment!$C$5:$C$6</c:f>
              <c:strCache>
                <c:ptCount val="1"/>
                <c:pt idx="0">
                  <c:v>Ethylene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Investment!$A$7:$A$17</c:f>
              <c:strCach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2022</c:v>
                </c:pt>
                <c:pt idx="9">
                  <c:v>NA</c:v>
                </c:pt>
              </c:strCache>
            </c:strRef>
          </c:cat>
          <c:val>
            <c:numRef>
              <c:f>Investment!$C$7:$C$17</c:f>
              <c:numCache>
                <c:formatCode>_("$"* #,##0_);_("$"* \(#,##0\);_("$"* "-"??_);_(@_)</c:formatCode>
                <c:ptCount val="10"/>
                <c:pt idx="0">
                  <c:v>3150000000</c:v>
                </c:pt>
                <c:pt idx="1">
                  <c:v>1795250000</c:v>
                </c:pt>
                <c:pt idx="2">
                  <c:v>200000000</c:v>
                </c:pt>
                <c:pt idx="3">
                  <c:v>930000000</c:v>
                </c:pt>
                <c:pt idx="4">
                  <c:v>15581000000</c:v>
                </c:pt>
                <c:pt idx="5">
                  <c:v>17272000000</c:v>
                </c:pt>
                <c:pt idx="6">
                  <c:v>5000000000</c:v>
                </c:pt>
                <c:pt idx="7">
                  <c:v>8900000000</c:v>
                </c:pt>
                <c:pt idx="8">
                  <c:v>9400000000</c:v>
                </c:pt>
              </c:numCache>
            </c:numRef>
          </c:val>
        </c:ser>
        <c:ser>
          <c:idx val="2"/>
          <c:order val="2"/>
          <c:tx>
            <c:strRef>
              <c:f>Investment!$D$5:$D$6</c:f>
              <c:strCache>
                <c:ptCount val="1"/>
                <c:pt idx="0">
                  <c:v>GTL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Investment!$A$7:$A$17</c:f>
              <c:strCach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2022</c:v>
                </c:pt>
                <c:pt idx="9">
                  <c:v>NA</c:v>
                </c:pt>
              </c:strCache>
            </c:strRef>
          </c:cat>
          <c:val>
            <c:numRef>
              <c:f>Investment!$D$7:$D$17</c:f>
              <c:numCache>
                <c:formatCode>_("$"* #,##0_);_("$"* \(#,##0\);_("$"* "-"??_);_(@_)</c:formatCode>
                <c:ptCount val="10"/>
                <c:pt idx="4">
                  <c:v>135000000</c:v>
                </c:pt>
                <c:pt idx="6">
                  <c:v>2000000000.0000002</c:v>
                </c:pt>
              </c:numCache>
            </c:numRef>
          </c:val>
        </c:ser>
        <c:ser>
          <c:idx val="3"/>
          <c:order val="3"/>
          <c:tx>
            <c:strRef>
              <c:f>Investment!$E$5:$E$6</c:f>
              <c:strCache>
                <c:ptCount val="1"/>
                <c:pt idx="0">
                  <c:v>Hydrogen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Investment!$A$7:$A$17</c:f>
              <c:strCach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2022</c:v>
                </c:pt>
                <c:pt idx="9">
                  <c:v>NA</c:v>
                </c:pt>
              </c:strCache>
            </c:strRef>
          </c:cat>
          <c:val>
            <c:numRef>
              <c:f>Investment!$E$7:$E$17</c:f>
              <c:numCache>
                <c:formatCode>_("$"* #,##0_);_("$"* \(#,##0\);_("$"* "-"??_);_(@_)</c:formatCode>
                <c:ptCount val="10"/>
                <c:pt idx="0">
                  <c:v>165000000</c:v>
                </c:pt>
                <c:pt idx="2">
                  <c:v>22000000</c:v>
                </c:pt>
                <c:pt idx="3">
                  <c:v>24444444.444444444</c:v>
                </c:pt>
                <c:pt idx="4">
                  <c:v>400000000</c:v>
                </c:pt>
                <c:pt idx="5">
                  <c:v>400000000</c:v>
                </c:pt>
              </c:numCache>
            </c:numRef>
          </c:val>
        </c:ser>
        <c:ser>
          <c:idx val="4"/>
          <c:order val="4"/>
          <c:tx>
            <c:strRef>
              <c:f>Investment!$F$5:$F$6</c:f>
              <c:strCache>
                <c:ptCount val="1"/>
                <c:pt idx="0">
                  <c:v>Methanol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Investment!$A$7:$A$17</c:f>
              <c:strCach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2022</c:v>
                </c:pt>
                <c:pt idx="9">
                  <c:v>NA</c:v>
                </c:pt>
              </c:strCache>
            </c:strRef>
          </c:cat>
          <c:val>
            <c:numRef>
              <c:f>Investment!$F$7:$F$17</c:f>
              <c:numCache>
                <c:formatCode>_("$"* #,##0_);_("$"* \(#,##0\);_("$"* "-"??_);_(@_)</c:formatCode>
                <c:ptCount val="10"/>
                <c:pt idx="0">
                  <c:v>180000000</c:v>
                </c:pt>
                <c:pt idx="1">
                  <c:v>550000000</c:v>
                </c:pt>
                <c:pt idx="2">
                  <c:v>1065000000</c:v>
                </c:pt>
                <c:pt idx="3">
                  <c:v>1400000000</c:v>
                </c:pt>
                <c:pt idx="4">
                  <c:v>2300000000</c:v>
                </c:pt>
                <c:pt idx="5">
                  <c:v>6610000000</c:v>
                </c:pt>
                <c:pt idx="6">
                  <c:v>1600000000</c:v>
                </c:pt>
              </c:numCache>
            </c:numRef>
          </c:val>
        </c:ser>
        <c:ser>
          <c:idx val="5"/>
          <c:order val="5"/>
          <c:tx>
            <c:strRef>
              <c:f>Investment!$G$5:$G$6</c:f>
              <c:strCache>
                <c:ptCount val="1"/>
                <c:pt idx="0">
                  <c:v>MTG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Investment!$A$7:$A$17</c:f>
              <c:strCach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2022</c:v>
                </c:pt>
                <c:pt idx="9">
                  <c:v>NA</c:v>
                </c:pt>
              </c:strCache>
            </c:strRef>
          </c:cat>
          <c:val>
            <c:numRef>
              <c:f>Investment!$G$7:$G$17</c:f>
              <c:numCache>
                <c:formatCode>_("$"* #,##0_);_("$"* \(#,##0\);_("$"* "-"??_);_(@_)</c:formatCode>
                <c:ptCount val="10"/>
                <c:pt idx="4">
                  <c:v>1400000000</c:v>
                </c:pt>
              </c:numCache>
            </c:numRef>
          </c:val>
        </c:ser>
        <c:ser>
          <c:idx val="6"/>
          <c:order val="6"/>
          <c:tx>
            <c:strRef>
              <c:f>Investment!$H$5:$H$6</c:f>
              <c:strCache>
                <c:ptCount val="1"/>
                <c:pt idx="0">
                  <c:v>Nitrogen fertilizers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Investment!$A$7:$A$17</c:f>
              <c:strCach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2022</c:v>
                </c:pt>
                <c:pt idx="9">
                  <c:v>NA</c:v>
                </c:pt>
              </c:strCache>
            </c:strRef>
          </c:cat>
          <c:val>
            <c:numRef>
              <c:f>Investment!$H$7:$H$17</c:f>
              <c:numCache>
                <c:formatCode>_("$"* #,##0_);_("$"* \(#,##0\);_("$"* "-"??_);_(@_)</c:formatCode>
                <c:ptCount val="10"/>
                <c:pt idx="0">
                  <c:v>260000000</c:v>
                </c:pt>
                <c:pt idx="1">
                  <c:v>178320000</c:v>
                </c:pt>
                <c:pt idx="2">
                  <c:v>910000000</c:v>
                </c:pt>
                <c:pt idx="3">
                  <c:v>8187500000</c:v>
                </c:pt>
                <c:pt idx="4">
                  <c:v>8250000000</c:v>
                </c:pt>
                <c:pt idx="5">
                  <c:v>3215000000</c:v>
                </c:pt>
                <c:pt idx="6">
                  <c:v>1920000000</c:v>
                </c:pt>
                <c:pt idx="7">
                  <c:v>2700000000</c:v>
                </c:pt>
                <c:pt idx="9">
                  <c:v>700000000</c:v>
                </c:pt>
              </c:numCache>
            </c:numRef>
          </c:val>
        </c:ser>
        <c:ser>
          <c:idx val="7"/>
          <c:order val="7"/>
          <c:tx>
            <c:strRef>
              <c:f>Investment!$I$5:$I$6</c:f>
              <c:strCache>
                <c:ptCount val="1"/>
                <c:pt idx="0">
                  <c:v>Other Chemicals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Investment!$A$7:$A$17</c:f>
              <c:strCach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2022</c:v>
                </c:pt>
                <c:pt idx="9">
                  <c:v>NA</c:v>
                </c:pt>
              </c:strCache>
            </c:strRef>
          </c:cat>
          <c:val>
            <c:numRef>
              <c:f>Investment!$I$7:$I$17</c:f>
              <c:numCache>
                <c:formatCode>_("$"* #,##0_);_("$"* \(#,##0\);_("$"* "-"??_);_(@_)</c:formatCode>
                <c:ptCount val="10"/>
                <c:pt idx="0">
                  <c:v>172000000</c:v>
                </c:pt>
                <c:pt idx="1">
                  <c:v>951900000</c:v>
                </c:pt>
                <c:pt idx="2">
                  <c:v>251800000</c:v>
                </c:pt>
                <c:pt idx="4">
                  <c:v>2500000000</c:v>
                </c:pt>
                <c:pt idx="5">
                  <c:v>450000000</c:v>
                </c:pt>
                <c:pt idx="6">
                  <c:v>1600000000</c:v>
                </c:pt>
              </c:numCache>
            </c:numRef>
          </c:val>
        </c:ser>
        <c:ser>
          <c:idx val="8"/>
          <c:order val="8"/>
          <c:tx>
            <c:strRef>
              <c:f>Investment!$J$5:$J$6</c:f>
              <c:strCache>
                <c:ptCount val="1"/>
                <c:pt idx="0">
                  <c:v>Plastics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Investment!$A$7:$A$17</c:f>
              <c:strCach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2022</c:v>
                </c:pt>
                <c:pt idx="9">
                  <c:v>NA</c:v>
                </c:pt>
              </c:strCache>
            </c:strRef>
          </c:cat>
          <c:val>
            <c:numRef>
              <c:f>Investment!$J$7:$J$17</c:f>
              <c:numCache>
                <c:formatCode>_("$"* #,##0_);_("$"* \(#,##0\);_("$"* "-"??_);_(@_)</c:formatCode>
                <c:ptCount val="10"/>
                <c:pt idx="1">
                  <c:v>153000000</c:v>
                </c:pt>
              </c:numCache>
            </c:numRef>
          </c:val>
        </c:ser>
        <c:ser>
          <c:idx val="9"/>
          <c:order val="9"/>
          <c:tx>
            <c:strRef>
              <c:f>Investment!$K$5:$K$6</c:f>
              <c:strCache>
                <c:ptCount val="1"/>
                <c:pt idx="0">
                  <c:v>Polyethylene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Investment!$A$7:$A$17</c:f>
              <c:strCach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2022</c:v>
                </c:pt>
                <c:pt idx="9">
                  <c:v>NA</c:v>
                </c:pt>
              </c:strCache>
            </c:strRef>
          </c:cat>
          <c:val>
            <c:numRef>
              <c:f>Investment!$K$7:$K$17</c:f>
              <c:numCache>
                <c:formatCode>_("$"* #,##0_);_("$"* \(#,##0\);_("$"* "-"??_);_(@_)</c:formatCode>
                <c:ptCount val="10"/>
                <c:pt idx="1">
                  <c:v>20000000</c:v>
                </c:pt>
                <c:pt idx="3">
                  <c:v>1600348000</c:v>
                </c:pt>
                <c:pt idx="4">
                  <c:v>2843300000</c:v>
                </c:pt>
                <c:pt idx="5">
                  <c:v>199800000</c:v>
                </c:pt>
                <c:pt idx="6">
                  <c:v>222000000</c:v>
                </c:pt>
                <c:pt idx="7">
                  <c:v>421800000</c:v>
                </c:pt>
              </c:numCache>
            </c:numRef>
          </c:val>
        </c:ser>
        <c:ser>
          <c:idx val="10"/>
          <c:order val="10"/>
          <c:tx>
            <c:strRef>
              <c:f>Investment!$L$5:$L$6</c:f>
              <c:strCache>
                <c:ptCount val="1"/>
                <c:pt idx="0">
                  <c:v>Propylene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Investment!$A$7:$A$17</c:f>
              <c:strCach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2022</c:v>
                </c:pt>
                <c:pt idx="9">
                  <c:v>NA</c:v>
                </c:pt>
              </c:strCache>
            </c:strRef>
          </c:cat>
          <c:val>
            <c:numRef>
              <c:f>Investment!$L$7:$L$17</c:f>
              <c:numCache>
                <c:formatCode>_("$"* #,##0_);_("$"* \(#,##0\);_("$"* "-"??_);_(@_)</c:formatCode>
                <c:ptCount val="10"/>
                <c:pt idx="0">
                  <c:v>357000000</c:v>
                </c:pt>
                <c:pt idx="1">
                  <c:v>49000000</c:v>
                </c:pt>
                <c:pt idx="2">
                  <c:v>1900000000</c:v>
                </c:pt>
                <c:pt idx="4">
                  <c:v>1750000000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488191504"/>
        <c:axId val="488192624"/>
      </c:barChart>
      <c:catAx>
        <c:axId val="488191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192624"/>
        <c:crosses val="autoZero"/>
        <c:auto val="1"/>
        <c:lblAlgn val="ctr"/>
        <c:lblOffset val="100"/>
        <c:noMultiLvlLbl val="0"/>
      </c:catAx>
      <c:valAx>
        <c:axId val="488192624"/>
        <c:scaling>
          <c:orientation val="minMax"/>
          <c:max val="36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191504"/>
        <c:crosses val="autoZero"/>
        <c:crossBetween val="between"/>
        <c:majorUnit val="4000000000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[CEE Industrial Projects Database.xlsx]NG Consumption!PivotTable2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'NG Consumption'!$B$5:$B$6</c:f>
              <c:strCache>
                <c:ptCount val="1"/>
                <c:pt idx="0">
                  <c:v>Chlor-Alkali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'NG Consumption'!$A$7:$A$17</c:f>
              <c:strCach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2022</c:v>
                </c:pt>
                <c:pt idx="9">
                  <c:v>NA</c:v>
                </c:pt>
              </c:strCache>
            </c:strRef>
          </c:cat>
          <c:val>
            <c:numRef>
              <c:f>'NG Consumption'!$B$7:$B$17</c:f>
              <c:numCache>
                <c:formatCode>0.00</c:formatCode>
                <c:ptCount val="10"/>
                <c:pt idx="0">
                  <c:v>2.3799452054794521E-4</c:v>
                </c:pt>
                <c:pt idx="1">
                  <c:v>2.3955616438356163E-2</c:v>
                </c:pt>
              </c:numCache>
            </c:numRef>
          </c:val>
        </c:ser>
        <c:ser>
          <c:idx val="1"/>
          <c:order val="1"/>
          <c:tx>
            <c:strRef>
              <c:f>'NG Consumption'!$C$5:$C$6</c:f>
              <c:strCache>
                <c:ptCount val="1"/>
                <c:pt idx="0">
                  <c:v>Ethylene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'NG Consumption'!$A$7:$A$17</c:f>
              <c:strCach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2022</c:v>
                </c:pt>
                <c:pt idx="9">
                  <c:v>NA</c:v>
                </c:pt>
              </c:strCache>
            </c:strRef>
          </c:cat>
          <c:val>
            <c:numRef>
              <c:f>'NG Consumption'!$C$7:$C$17</c:f>
              <c:numCache>
                <c:formatCode>0.00</c:formatCode>
                <c:ptCount val="10"/>
                <c:pt idx="0">
                  <c:v>7.1669145205479456E-2</c:v>
                </c:pt>
                <c:pt idx="1">
                  <c:v>6.2625970772699172E-2</c:v>
                </c:pt>
                <c:pt idx="2">
                  <c:v>7.2889187061945205E-3</c:v>
                </c:pt>
                <c:pt idx="3">
                  <c:v>3.1585314383760867E-2</c:v>
                </c:pt>
                <c:pt idx="4">
                  <c:v>0.33354431676584684</c:v>
                </c:pt>
                <c:pt idx="5">
                  <c:v>0.40072442074863779</c:v>
                </c:pt>
                <c:pt idx="6">
                  <c:v>0.12855452054794522</c:v>
                </c:pt>
                <c:pt idx="7">
                  <c:v>0.13176838356164383</c:v>
                </c:pt>
                <c:pt idx="8">
                  <c:v>0.19283178082191782</c:v>
                </c:pt>
              </c:numCache>
            </c:numRef>
          </c:val>
        </c:ser>
        <c:ser>
          <c:idx val="2"/>
          <c:order val="2"/>
          <c:tx>
            <c:strRef>
              <c:f>'NG Consumption'!$D$5:$D$6</c:f>
              <c:strCache>
                <c:ptCount val="1"/>
                <c:pt idx="0">
                  <c:v>GTL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'NG Consumption'!$A$7:$A$17</c:f>
              <c:strCach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2022</c:v>
                </c:pt>
                <c:pt idx="9">
                  <c:v>NA</c:v>
                </c:pt>
              </c:strCache>
            </c:strRef>
          </c:cat>
          <c:val>
            <c:numRef>
              <c:f>'NG Consumption'!$D$7:$D$17</c:f>
              <c:numCache>
                <c:formatCode>0.00</c:formatCode>
                <c:ptCount val="10"/>
                <c:pt idx="4">
                  <c:v>9.7835885714285704E-3</c:v>
                </c:pt>
                <c:pt idx="6">
                  <c:v>0.1245184</c:v>
                </c:pt>
              </c:numCache>
            </c:numRef>
          </c:val>
        </c:ser>
        <c:ser>
          <c:idx val="3"/>
          <c:order val="3"/>
          <c:tx>
            <c:strRef>
              <c:f>'NG Consumption'!$E$5:$E$6</c:f>
              <c:strCache>
                <c:ptCount val="1"/>
                <c:pt idx="0">
                  <c:v>Hydrogen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'NG Consumption'!$A$7:$A$17</c:f>
              <c:strCach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2022</c:v>
                </c:pt>
                <c:pt idx="9">
                  <c:v>NA</c:v>
                </c:pt>
              </c:strCache>
            </c:strRef>
          </c:cat>
          <c:val>
            <c:numRef>
              <c:f>'NG Consumption'!$E$7:$E$17</c:f>
              <c:numCache>
                <c:formatCode>0.00</c:formatCode>
                <c:ptCount val="10"/>
                <c:pt idx="0">
                  <c:v>9.8496E-2</c:v>
                </c:pt>
                <c:pt idx="2">
                  <c:v>2.7359999999999997E-3</c:v>
                </c:pt>
                <c:pt idx="3">
                  <c:v>1.4592000000000001E-2</c:v>
                </c:pt>
                <c:pt idx="4">
                  <c:v>0</c:v>
                </c:pt>
                <c:pt idx="5">
                  <c:v>4.5599999999999995E-2</c:v>
                </c:pt>
              </c:numCache>
            </c:numRef>
          </c:val>
        </c:ser>
        <c:ser>
          <c:idx val="4"/>
          <c:order val="4"/>
          <c:tx>
            <c:strRef>
              <c:f>'NG Consumption'!$F$5:$F$6</c:f>
              <c:strCache>
                <c:ptCount val="1"/>
                <c:pt idx="0">
                  <c:v>Methanol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'NG Consumption'!$A$7:$A$17</c:f>
              <c:strCach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2022</c:v>
                </c:pt>
                <c:pt idx="9">
                  <c:v>NA</c:v>
                </c:pt>
              </c:strCache>
            </c:strRef>
          </c:cat>
          <c:val>
            <c:numRef>
              <c:f>'NG Consumption'!$F$7:$F$17</c:f>
              <c:numCache>
                <c:formatCode>0.00</c:formatCode>
                <c:ptCount val="10"/>
                <c:pt idx="0">
                  <c:v>5.3001192328767127E-2</c:v>
                </c:pt>
                <c:pt idx="1">
                  <c:v>6.795024657534246E-2</c:v>
                </c:pt>
                <c:pt idx="2">
                  <c:v>9.9547111232876712E-2</c:v>
                </c:pt>
                <c:pt idx="3">
                  <c:v>6.795024657534246E-2</c:v>
                </c:pt>
                <c:pt idx="4">
                  <c:v>0.24937740493150684</c:v>
                </c:pt>
                <c:pt idx="5">
                  <c:v>0.57417958356164389</c:v>
                </c:pt>
                <c:pt idx="6">
                  <c:v>9.5130345205479458E-2</c:v>
                </c:pt>
              </c:numCache>
            </c:numRef>
          </c:val>
        </c:ser>
        <c:ser>
          <c:idx val="5"/>
          <c:order val="5"/>
          <c:tx>
            <c:strRef>
              <c:f>'NG Consumption'!$G$5:$G$6</c:f>
              <c:strCache>
                <c:ptCount val="1"/>
                <c:pt idx="0">
                  <c:v>MTG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'NG Consumption'!$A$7:$A$17</c:f>
              <c:strCach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2022</c:v>
                </c:pt>
                <c:pt idx="9">
                  <c:v>NA</c:v>
                </c:pt>
              </c:strCache>
            </c:strRef>
          </c:cat>
          <c:val>
            <c:numRef>
              <c:f>'NG Consumption'!$G$7:$G$17</c:f>
              <c:numCache>
                <c:formatCode>0.00</c:formatCode>
                <c:ptCount val="10"/>
                <c:pt idx="4">
                  <c:v>0.11117714285714286</c:v>
                </c:pt>
              </c:numCache>
            </c:numRef>
          </c:val>
        </c:ser>
        <c:ser>
          <c:idx val="6"/>
          <c:order val="6"/>
          <c:tx>
            <c:strRef>
              <c:f>'NG Consumption'!$H$5:$H$6</c:f>
              <c:strCache>
                <c:ptCount val="1"/>
                <c:pt idx="0">
                  <c:v>Nitrogen fertilizers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'NG Consumption'!$A$7:$A$17</c:f>
              <c:strCach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2022</c:v>
                </c:pt>
                <c:pt idx="9">
                  <c:v>NA</c:v>
                </c:pt>
              </c:strCache>
            </c:strRef>
          </c:cat>
          <c:val>
            <c:numRef>
              <c:f>'NG Consumption'!$H$7:$H$17</c:f>
              <c:numCache>
                <c:formatCode>0.00</c:formatCode>
                <c:ptCount val="10"/>
                <c:pt idx="0">
                  <c:v>5.0109589041095887E-2</c:v>
                </c:pt>
                <c:pt idx="1">
                  <c:v>2.3075010211706101E-2</c:v>
                </c:pt>
                <c:pt idx="2">
                  <c:v>6.8422366127023654E-2</c:v>
                </c:pt>
                <c:pt idx="3">
                  <c:v>0.54626333659322535</c:v>
                </c:pt>
                <c:pt idx="4">
                  <c:v>0.51733139726027388</c:v>
                </c:pt>
                <c:pt idx="5">
                  <c:v>0.1927715890410959</c:v>
                </c:pt>
                <c:pt idx="6">
                  <c:v>0.22832438356164383</c:v>
                </c:pt>
                <c:pt idx="7">
                  <c:v>7.3160000000000003E-2</c:v>
                </c:pt>
                <c:pt idx="9">
                  <c:v>8.0175342465753419E-2</c:v>
                </c:pt>
              </c:numCache>
            </c:numRef>
          </c:val>
        </c:ser>
        <c:ser>
          <c:idx val="7"/>
          <c:order val="7"/>
          <c:tx>
            <c:strRef>
              <c:f>'NG Consumption'!$I$5:$I$6</c:f>
              <c:strCache>
                <c:ptCount val="1"/>
                <c:pt idx="0">
                  <c:v>Plastics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'NG Consumption'!$A$7:$A$17</c:f>
              <c:strCach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2022</c:v>
                </c:pt>
                <c:pt idx="9">
                  <c:v>NA</c:v>
                </c:pt>
              </c:strCache>
            </c:strRef>
          </c:cat>
          <c:val>
            <c:numRef>
              <c:f>'NG Consumption'!$I$7:$I$17</c:f>
              <c:numCache>
                <c:formatCode>0.00</c:formatCode>
                <c:ptCount val="10"/>
                <c:pt idx="0">
                  <c:v>0</c:v>
                </c:pt>
              </c:numCache>
            </c:numRef>
          </c:val>
        </c:ser>
        <c:ser>
          <c:idx val="8"/>
          <c:order val="8"/>
          <c:tx>
            <c:strRef>
              <c:f>'NG Consumption'!$J$5:$J$6</c:f>
              <c:strCache>
                <c:ptCount val="1"/>
                <c:pt idx="0">
                  <c:v>Polyethylene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'NG Consumption'!$A$7:$A$17</c:f>
              <c:strCach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2022</c:v>
                </c:pt>
                <c:pt idx="9">
                  <c:v>NA</c:v>
                </c:pt>
              </c:strCache>
            </c:strRef>
          </c:cat>
          <c:val>
            <c:numRef>
              <c:f>'NG Consumption'!$J$7:$J$17</c:f>
              <c:numCache>
                <c:formatCode>0.00</c:formatCode>
                <c:ptCount val="10"/>
                <c:pt idx="1">
                  <c:v>9.9945205479452055E-4</c:v>
                </c:pt>
                <c:pt idx="3">
                  <c:v>1.4661255989407561E-2</c:v>
                </c:pt>
                <c:pt idx="4">
                  <c:v>3.6929753424657534E-2</c:v>
                </c:pt>
                <c:pt idx="5">
                  <c:v>4.4975342465753427E-3</c:v>
                </c:pt>
                <c:pt idx="6">
                  <c:v>4.9972602739726032E-3</c:v>
                </c:pt>
                <c:pt idx="7">
                  <c:v>9.4947945205479441E-3</c:v>
                </c:pt>
              </c:numCache>
            </c:numRef>
          </c:val>
        </c:ser>
        <c:ser>
          <c:idx val="9"/>
          <c:order val="9"/>
          <c:tx>
            <c:strRef>
              <c:f>'NG Consumption'!$K$5:$K$6</c:f>
              <c:strCache>
                <c:ptCount val="1"/>
                <c:pt idx="0">
                  <c:v>Propylene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'NG Consumption'!$A$7:$A$17</c:f>
              <c:strCach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2022</c:v>
                </c:pt>
                <c:pt idx="9">
                  <c:v>NA</c:v>
                </c:pt>
              </c:strCache>
            </c:strRef>
          </c:cat>
          <c:val>
            <c:numRef>
              <c:f>'NG Consumption'!$K$7:$K$17</c:f>
              <c:numCache>
                <c:formatCode>0.00</c:formatCode>
                <c:ptCount val="10"/>
                <c:pt idx="0">
                  <c:v>7.0245863013698633E-3</c:v>
                </c:pt>
                <c:pt idx="1">
                  <c:v>9.6415890410958907E-4</c:v>
                </c:pt>
                <c:pt idx="2">
                  <c:v>4.8207945205479448E-2</c:v>
                </c:pt>
                <c:pt idx="4">
                  <c:v>4.1321095890410962E-2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7835024"/>
        <c:axId val="487840064"/>
      </c:barChart>
      <c:catAx>
        <c:axId val="48783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7840064"/>
        <c:crosses val="autoZero"/>
        <c:auto val="1"/>
        <c:lblAlgn val="ctr"/>
        <c:lblOffset val="100"/>
        <c:noMultiLvlLbl val="0"/>
      </c:catAx>
      <c:valAx>
        <c:axId val="487840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7835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[CEE Industrial Projects Database.xlsx]Regional Distribution!PivotTable3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'Regional Distribution'!$B$5:$B$6</c:f>
              <c:strCache>
                <c:ptCount val="1"/>
                <c:pt idx="0">
                  <c:v>Chlor-Alkali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'Regional Distribution'!$A$7:$A$31</c:f>
              <c:strCache>
                <c:ptCount val="24"/>
                <c:pt idx="0">
                  <c:v>AK</c:v>
                </c:pt>
                <c:pt idx="1">
                  <c:v>AL</c:v>
                </c:pt>
                <c:pt idx="2">
                  <c:v>AR</c:v>
                </c:pt>
                <c:pt idx="3">
                  <c:v>CA</c:v>
                </c:pt>
                <c:pt idx="4">
                  <c:v>IA</c:v>
                </c:pt>
                <c:pt idx="5">
                  <c:v>ID</c:v>
                </c:pt>
                <c:pt idx="6">
                  <c:v>IL</c:v>
                </c:pt>
                <c:pt idx="7">
                  <c:v>IN</c:v>
                </c:pt>
                <c:pt idx="8">
                  <c:v>KS</c:v>
                </c:pt>
                <c:pt idx="9">
                  <c:v>KY</c:v>
                </c:pt>
                <c:pt idx="10">
                  <c:v>LA</c:v>
                </c:pt>
                <c:pt idx="11">
                  <c:v>MS</c:v>
                </c:pt>
                <c:pt idx="12">
                  <c:v>ND</c:v>
                </c:pt>
                <c:pt idx="13">
                  <c:v>NE</c:v>
                </c:pt>
                <c:pt idx="14">
                  <c:v>NY</c:v>
                </c:pt>
                <c:pt idx="15">
                  <c:v>OH</c:v>
                </c:pt>
                <c:pt idx="16">
                  <c:v>OK</c:v>
                </c:pt>
                <c:pt idx="17">
                  <c:v>OR</c:v>
                </c:pt>
                <c:pt idx="18">
                  <c:v>SC</c:v>
                </c:pt>
                <c:pt idx="19">
                  <c:v>TN</c:v>
                </c:pt>
                <c:pt idx="20">
                  <c:v>TX</c:v>
                </c:pt>
                <c:pt idx="21">
                  <c:v>WA</c:v>
                </c:pt>
                <c:pt idx="22">
                  <c:v>WV</c:v>
                </c:pt>
                <c:pt idx="23">
                  <c:v>WY</c:v>
                </c:pt>
              </c:strCache>
            </c:strRef>
          </c:cat>
          <c:val>
            <c:numRef>
              <c:f>'Regional Distribution'!$B$7:$B$31</c:f>
              <c:numCache>
                <c:formatCode>_("$"* #,##0_);_("$"* \(#,##0\);_("$"* "-"??_);_(@_)</c:formatCode>
                <c:ptCount val="24"/>
                <c:pt idx="3">
                  <c:v>850000000</c:v>
                </c:pt>
                <c:pt idx="10">
                  <c:v>425000000</c:v>
                </c:pt>
                <c:pt idx="19">
                  <c:v>270000000</c:v>
                </c:pt>
                <c:pt idx="20">
                  <c:v>411000000</c:v>
                </c:pt>
              </c:numCache>
            </c:numRef>
          </c:val>
        </c:ser>
        <c:ser>
          <c:idx val="1"/>
          <c:order val="1"/>
          <c:tx>
            <c:strRef>
              <c:f>'Regional Distribution'!$C$5:$C$6</c:f>
              <c:strCache>
                <c:ptCount val="1"/>
                <c:pt idx="0">
                  <c:v>Ethylene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'Regional Distribution'!$A$7:$A$31</c:f>
              <c:strCache>
                <c:ptCount val="24"/>
                <c:pt idx="0">
                  <c:v>AK</c:v>
                </c:pt>
                <c:pt idx="1">
                  <c:v>AL</c:v>
                </c:pt>
                <c:pt idx="2">
                  <c:v>AR</c:v>
                </c:pt>
                <c:pt idx="3">
                  <c:v>CA</c:v>
                </c:pt>
                <c:pt idx="4">
                  <c:v>IA</c:v>
                </c:pt>
                <c:pt idx="5">
                  <c:v>ID</c:v>
                </c:pt>
                <c:pt idx="6">
                  <c:v>IL</c:v>
                </c:pt>
                <c:pt idx="7">
                  <c:v>IN</c:v>
                </c:pt>
                <c:pt idx="8">
                  <c:v>KS</c:v>
                </c:pt>
                <c:pt idx="9">
                  <c:v>KY</c:v>
                </c:pt>
                <c:pt idx="10">
                  <c:v>LA</c:v>
                </c:pt>
                <c:pt idx="11">
                  <c:v>MS</c:v>
                </c:pt>
                <c:pt idx="12">
                  <c:v>ND</c:v>
                </c:pt>
                <c:pt idx="13">
                  <c:v>NE</c:v>
                </c:pt>
                <c:pt idx="14">
                  <c:v>NY</c:v>
                </c:pt>
                <c:pt idx="15">
                  <c:v>OH</c:v>
                </c:pt>
                <c:pt idx="16">
                  <c:v>OK</c:v>
                </c:pt>
                <c:pt idx="17">
                  <c:v>OR</c:v>
                </c:pt>
                <c:pt idx="18">
                  <c:v>SC</c:v>
                </c:pt>
                <c:pt idx="19">
                  <c:v>TN</c:v>
                </c:pt>
                <c:pt idx="20">
                  <c:v>TX</c:v>
                </c:pt>
                <c:pt idx="21">
                  <c:v>WA</c:v>
                </c:pt>
                <c:pt idx="22">
                  <c:v>WV</c:v>
                </c:pt>
                <c:pt idx="23">
                  <c:v>WY</c:v>
                </c:pt>
              </c:strCache>
            </c:strRef>
          </c:cat>
          <c:val>
            <c:numRef>
              <c:f>'Regional Distribution'!$C$7:$C$31</c:f>
              <c:numCache>
                <c:formatCode>_("$"* #,##0_);_("$"* \(#,##0\);_("$"* "-"??_);_(@_)</c:formatCode>
                <c:ptCount val="24"/>
                <c:pt idx="9">
                  <c:v>75000000</c:v>
                </c:pt>
                <c:pt idx="10">
                  <c:v>28072250000</c:v>
                </c:pt>
                <c:pt idx="15">
                  <c:v>5700000000</c:v>
                </c:pt>
                <c:pt idx="20">
                  <c:v>25181000000</c:v>
                </c:pt>
                <c:pt idx="22">
                  <c:v>3200000000</c:v>
                </c:pt>
              </c:numCache>
            </c:numRef>
          </c:val>
        </c:ser>
        <c:ser>
          <c:idx val="2"/>
          <c:order val="2"/>
          <c:tx>
            <c:strRef>
              <c:f>'Regional Distribution'!$D$5:$D$6</c:f>
              <c:strCache>
                <c:ptCount val="1"/>
                <c:pt idx="0">
                  <c:v>GTL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'Regional Distribution'!$A$7:$A$31</c:f>
              <c:strCache>
                <c:ptCount val="24"/>
                <c:pt idx="0">
                  <c:v>AK</c:v>
                </c:pt>
                <c:pt idx="1">
                  <c:v>AL</c:v>
                </c:pt>
                <c:pt idx="2">
                  <c:v>AR</c:v>
                </c:pt>
                <c:pt idx="3">
                  <c:v>CA</c:v>
                </c:pt>
                <c:pt idx="4">
                  <c:v>IA</c:v>
                </c:pt>
                <c:pt idx="5">
                  <c:v>ID</c:v>
                </c:pt>
                <c:pt idx="6">
                  <c:v>IL</c:v>
                </c:pt>
                <c:pt idx="7">
                  <c:v>IN</c:v>
                </c:pt>
                <c:pt idx="8">
                  <c:v>KS</c:v>
                </c:pt>
                <c:pt idx="9">
                  <c:v>KY</c:v>
                </c:pt>
                <c:pt idx="10">
                  <c:v>LA</c:v>
                </c:pt>
                <c:pt idx="11">
                  <c:v>MS</c:v>
                </c:pt>
                <c:pt idx="12">
                  <c:v>ND</c:v>
                </c:pt>
                <c:pt idx="13">
                  <c:v>NE</c:v>
                </c:pt>
                <c:pt idx="14">
                  <c:v>NY</c:v>
                </c:pt>
                <c:pt idx="15">
                  <c:v>OH</c:v>
                </c:pt>
                <c:pt idx="16">
                  <c:v>OK</c:v>
                </c:pt>
                <c:pt idx="17">
                  <c:v>OR</c:v>
                </c:pt>
                <c:pt idx="18">
                  <c:v>SC</c:v>
                </c:pt>
                <c:pt idx="19">
                  <c:v>TN</c:v>
                </c:pt>
                <c:pt idx="20">
                  <c:v>TX</c:v>
                </c:pt>
                <c:pt idx="21">
                  <c:v>WA</c:v>
                </c:pt>
                <c:pt idx="22">
                  <c:v>WV</c:v>
                </c:pt>
                <c:pt idx="23">
                  <c:v>WY</c:v>
                </c:pt>
              </c:strCache>
            </c:strRef>
          </c:cat>
          <c:val>
            <c:numRef>
              <c:f>'Regional Distribution'!$D$7:$D$31</c:f>
              <c:numCache>
                <c:formatCode>_("$"* #,##0_);_("$"* \(#,##0\);_("$"* "-"??_);_(@_)</c:formatCode>
                <c:ptCount val="24"/>
                <c:pt idx="10">
                  <c:v>135000000</c:v>
                </c:pt>
                <c:pt idx="11">
                  <c:v>2000000000.0000002</c:v>
                </c:pt>
              </c:numCache>
            </c:numRef>
          </c:val>
        </c:ser>
        <c:ser>
          <c:idx val="3"/>
          <c:order val="3"/>
          <c:tx>
            <c:strRef>
              <c:f>'Regional Distribution'!$E$5:$E$6</c:f>
              <c:strCache>
                <c:ptCount val="1"/>
                <c:pt idx="0">
                  <c:v>Hydrogen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'Regional Distribution'!$A$7:$A$31</c:f>
              <c:strCache>
                <c:ptCount val="24"/>
                <c:pt idx="0">
                  <c:v>AK</c:v>
                </c:pt>
                <c:pt idx="1">
                  <c:v>AL</c:v>
                </c:pt>
                <c:pt idx="2">
                  <c:v>AR</c:v>
                </c:pt>
                <c:pt idx="3">
                  <c:v>CA</c:v>
                </c:pt>
                <c:pt idx="4">
                  <c:v>IA</c:v>
                </c:pt>
                <c:pt idx="5">
                  <c:v>ID</c:v>
                </c:pt>
                <c:pt idx="6">
                  <c:v>IL</c:v>
                </c:pt>
                <c:pt idx="7">
                  <c:v>IN</c:v>
                </c:pt>
                <c:pt idx="8">
                  <c:v>KS</c:v>
                </c:pt>
                <c:pt idx="9">
                  <c:v>KY</c:v>
                </c:pt>
                <c:pt idx="10">
                  <c:v>LA</c:v>
                </c:pt>
                <c:pt idx="11">
                  <c:v>MS</c:v>
                </c:pt>
                <c:pt idx="12">
                  <c:v>ND</c:v>
                </c:pt>
                <c:pt idx="13">
                  <c:v>NE</c:v>
                </c:pt>
                <c:pt idx="14">
                  <c:v>NY</c:v>
                </c:pt>
                <c:pt idx="15">
                  <c:v>OH</c:v>
                </c:pt>
                <c:pt idx="16">
                  <c:v>OK</c:v>
                </c:pt>
                <c:pt idx="17">
                  <c:v>OR</c:v>
                </c:pt>
                <c:pt idx="18">
                  <c:v>SC</c:v>
                </c:pt>
                <c:pt idx="19">
                  <c:v>TN</c:v>
                </c:pt>
                <c:pt idx="20">
                  <c:v>TX</c:v>
                </c:pt>
                <c:pt idx="21">
                  <c:v>WA</c:v>
                </c:pt>
                <c:pt idx="22">
                  <c:v>WV</c:v>
                </c:pt>
                <c:pt idx="23">
                  <c:v>WY</c:v>
                </c:pt>
              </c:strCache>
            </c:strRef>
          </c:cat>
          <c:val>
            <c:numRef>
              <c:f>'Regional Distribution'!$E$7:$E$31</c:f>
              <c:numCache>
                <c:formatCode>_("$"* #,##0_);_("$"* \(#,##0\);_("$"* "-"??_);_(@_)</c:formatCode>
                <c:ptCount val="24"/>
                <c:pt idx="8">
                  <c:v>24444444.444444444</c:v>
                </c:pt>
                <c:pt idx="10">
                  <c:v>82500000</c:v>
                </c:pt>
                <c:pt idx="14">
                  <c:v>22000000</c:v>
                </c:pt>
                <c:pt idx="20">
                  <c:v>882500000</c:v>
                </c:pt>
              </c:numCache>
            </c:numRef>
          </c:val>
        </c:ser>
        <c:ser>
          <c:idx val="4"/>
          <c:order val="4"/>
          <c:tx>
            <c:strRef>
              <c:f>'Regional Distribution'!$F$5:$F$6</c:f>
              <c:strCache>
                <c:ptCount val="1"/>
                <c:pt idx="0">
                  <c:v>Methanol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'Regional Distribution'!$A$7:$A$31</c:f>
              <c:strCache>
                <c:ptCount val="24"/>
                <c:pt idx="0">
                  <c:v>AK</c:v>
                </c:pt>
                <c:pt idx="1">
                  <c:v>AL</c:v>
                </c:pt>
                <c:pt idx="2">
                  <c:v>AR</c:v>
                </c:pt>
                <c:pt idx="3">
                  <c:v>CA</c:v>
                </c:pt>
                <c:pt idx="4">
                  <c:v>IA</c:v>
                </c:pt>
                <c:pt idx="5">
                  <c:v>ID</c:v>
                </c:pt>
                <c:pt idx="6">
                  <c:v>IL</c:v>
                </c:pt>
                <c:pt idx="7">
                  <c:v>IN</c:v>
                </c:pt>
                <c:pt idx="8">
                  <c:v>KS</c:v>
                </c:pt>
                <c:pt idx="9">
                  <c:v>KY</c:v>
                </c:pt>
                <c:pt idx="10">
                  <c:v>LA</c:v>
                </c:pt>
                <c:pt idx="11">
                  <c:v>MS</c:v>
                </c:pt>
                <c:pt idx="12">
                  <c:v>ND</c:v>
                </c:pt>
                <c:pt idx="13">
                  <c:v>NE</c:v>
                </c:pt>
                <c:pt idx="14">
                  <c:v>NY</c:v>
                </c:pt>
                <c:pt idx="15">
                  <c:v>OH</c:v>
                </c:pt>
                <c:pt idx="16">
                  <c:v>OK</c:v>
                </c:pt>
                <c:pt idx="17">
                  <c:v>OR</c:v>
                </c:pt>
                <c:pt idx="18">
                  <c:v>SC</c:v>
                </c:pt>
                <c:pt idx="19">
                  <c:v>TN</c:v>
                </c:pt>
                <c:pt idx="20">
                  <c:v>TX</c:v>
                </c:pt>
                <c:pt idx="21">
                  <c:v>WA</c:v>
                </c:pt>
                <c:pt idx="22">
                  <c:v>WV</c:v>
                </c:pt>
                <c:pt idx="23">
                  <c:v>WY</c:v>
                </c:pt>
              </c:strCache>
            </c:strRef>
          </c:cat>
          <c:val>
            <c:numRef>
              <c:f>'Regional Distribution'!$F$7:$F$31</c:f>
              <c:numCache>
                <c:formatCode>_("$"* #,##0_);_("$"* \(#,##0\);_("$"* "-"??_);_(@_)</c:formatCode>
                <c:ptCount val="24"/>
                <c:pt idx="10">
                  <c:v>7060000000</c:v>
                </c:pt>
                <c:pt idx="17">
                  <c:v>1800000000</c:v>
                </c:pt>
                <c:pt idx="20">
                  <c:v>3045000000</c:v>
                </c:pt>
                <c:pt idx="21">
                  <c:v>1800000000</c:v>
                </c:pt>
              </c:numCache>
            </c:numRef>
          </c:val>
        </c:ser>
        <c:ser>
          <c:idx val="5"/>
          <c:order val="5"/>
          <c:tx>
            <c:strRef>
              <c:f>'Regional Distribution'!$G$5:$G$6</c:f>
              <c:strCache>
                <c:ptCount val="1"/>
                <c:pt idx="0">
                  <c:v>MTG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'Regional Distribution'!$A$7:$A$31</c:f>
              <c:strCache>
                <c:ptCount val="24"/>
                <c:pt idx="0">
                  <c:v>AK</c:v>
                </c:pt>
                <c:pt idx="1">
                  <c:v>AL</c:v>
                </c:pt>
                <c:pt idx="2">
                  <c:v>AR</c:v>
                </c:pt>
                <c:pt idx="3">
                  <c:v>CA</c:v>
                </c:pt>
                <c:pt idx="4">
                  <c:v>IA</c:v>
                </c:pt>
                <c:pt idx="5">
                  <c:v>ID</c:v>
                </c:pt>
                <c:pt idx="6">
                  <c:v>IL</c:v>
                </c:pt>
                <c:pt idx="7">
                  <c:v>IN</c:v>
                </c:pt>
                <c:pt idx="8">
                  <c:v>KS</c:v>
                </c:pt>
                <c:pt idx="9">
                  <c:v>KY</c:v>
                </c:pt>
                <c:pt idx="10">
                  <c:v>LA</c:v>
                </c:pt>
                <c:pt idx="11">
                  <c:v>MS</c:v>
                </c:pt>
                <c:pt idx="12">
                  <c:v>ND</c:v>
                </c:pt>
                <c:pt idx="13">
                  <c:v>NE</c:v>
                </c:pt>
                <c:pt idx="14">
                  <c:v>NY</c:v>
                </c:pt>
                <c:pt idx="15">
                  <c:v>OH</c:v>
                </c:pt>
                <c:pt idx="16">
                  <c:v>OK</c:v>
                </c:pt>
                <c:pt idx="17">
                  <c:v>OR</c:v>
                </c:pt>
                <c:pt idx="18">
                  <c:v>SC</c:v>
                </c:pt>
                <c:pt idx="19">
                  <c:v>TN</c:v>
                </c:pt>
                <c:pt idx="20">
                  <c:v>TX</c:v>
                </c:pt>
                <c:pt idx="21">
                  <c:v>WA</c:v>
                </c:pt>
                <c:pt idx="22">
                  <c:v>WV</c:v>
                </c:pt>
                <c:pt idx="23">
                  <c:v>WY</c:v>
                </c:pt>
              </c:strCache>
            </c:strRef>
          </c:cat>
          <c:val>
            <c:numRef>
              <c:f>'Regional Distribution'!$G$7:$G$31</c:f>
              <c:numCache>
                <c:formatCode>_("$"* #,##0_);_("$"* \(#,##0\);_("$"* "-"??_);_(@_)</c:formatCode>
                <c:ptCount val="24"/>
                <c:pt idx="10">
                  <c:v>1400000000</c:v>
                </c:pt>
              </c:numCache>
            </c:numRef>
          </c:val>
        </c:ser>
        <c:ser>
          <c:idx val="6"/>
          <c:order val="6"/>
          <c:tx>
            <c:strRef>
              <c:f>'Regional Distribution'!$H$5:$H$6</c:f>
              <c:strCache>
                <c:ptCount val="1"/>
                <c:pt idx="0">
                  <c:v>Nitrogen fertilizers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'Regional Distribution'!$A$7:$A$31</c:f>
              <c:strCache>
                <c:ptCount val="24"/>
                <c:pt idx="0">
                  <c:v>AK</c:v>
                </c:pt>
                <c:pt idx="1">
                  <c:v>AL</c:v>
                </c:pt>
                <c:pt idx="2">
                  <c:v>AR</c:v>
                </c:pt>
                <c:pt idx="3">
                  <c:v>CA</c:v>
                </c:pt>
                <c:pt idx="4">
                  <c:v>IA</c:v>
                </c:pt>
                <c:pt idx="5">
                  <c:v>ID</c:v>
                </c:pt>
                <c:pt idx="6">
                  <c:v>IL</c:v>
                </c:pt>
                <c:pt idx="7">
                  <c:v>IN</c:v>
                </c:pt>
                <c:pt idx="8">
                  <c:v>KS</c:v>
                </c:pt>
                <c:pt idx="9">
                  <c:v>KY</c:v>
                </c:pt>
                <c:pt idx="10">
                  <c:v>LA</c:v>
                </c:pt>
                <c:pt idx="11">
                  <c:v>MS</c:v>
                </c:pt>
                <c:pt idx="12">
                  <c:v>ND</c:v>
                </c:pt>
                <c:pt idx="13">
                  <c:v>NE</c:v>
                </c:pt>
                <c:pt idx="14">
                  <c:v>NY</c:v>
                </c:pt>
                <c:pt idx="15">
                  <c:v>OH</c:v>
                </c:pt>
                <c:pt idx="16">
                  <c:v>OK</c:v>
                </c:pt>
                <c:pt idx="17">
                  <c:v>OR</c:v>
                </c:pt>
                <c:pt idx="18">
                  <c:v>SC</c:v>
                </c:pt>
                <c:pt idx="19">
                  <c:v>TN</c:v>
                </c:pt>
                <c:pt idx="20">
                  <c:v>TX</c:v>
                </c:pt>
                <c:pt idx="21">
                  <c:v>WA</c:v>
                </c:pt>
                <c:pt idx="22">
                  <c:v>WV</c:v>
                </c:pt>
                <c:pt idx="23">
                  <c:v>WY</c:v>
                </c:pt>
              </c:strCache>
            </c:strRef>
          </c:cat>
          <c:val>
            <c:numRef>
              <c:f>'Regional Distribution'!$H$7:$H$31</c:f>
              <c:numCache>
                <c:formatCode>_("$"* #,##0_);_("$"* \(#,##0\);_("$"* "-"??_);_(@_)</c:formatCode>
                <c:ptCount val="24"/>
                <c:pt idx="0">
                  <c:v>250000000</c:v>
                </c:pt>
                <c:pt idx="2">
                  <c:v>300000000</c:v>
                </c:pt>
                <c:pt idx="3">
                  <c:v>170000000</c:v>
                </c:pt>
                <c:pt idx="4">
                  <c:v>5500000000</c:v>
                </c:pt>
                <c:pt idx="5">
                  <c:v>2000000000</c:v>
                </c:pt>
                <c:pt idx="6">
                  <c:v>1601300000</c:v>
                </c:pt>
                <c:pt idx="7">
                  <c:v>4350000000</c:v>
                </c:pt>
                <c:pt idx="10">
                  <c:v>4338900000</c:v>
                </c:pt>
                <c:pt idx="12">
                  <c:v>3000000000</c:v>
                </c:pt>
                <c:pt idx="13">
                  <c:v>650000000</c:v>
                </c:pt>
                <c:pt idx="15">
                  <c:v>190000000</c:v>
                </c:pt>
                <c:pt idx="16">
                  <c:v>1300000000</c:v>
                </c:pt>
                <c:pt idx="19">
                  <c:v>237500000</c:v>
                </c:pt>
                <c:pt idx="20">
                  <c:v>1383120000</c:v>
                </c:pt>
                <c:pt idx="23">
                  <c:v>350000000</c:v>
                </c:pt>
              </c:numCache>
            </c:numRef>
          </c:val>
        </c:ser>
        <c:ser>
          <c:idx val="7"/>
          <c:order val="7"/>
          <c:tx>
            <c:strRef>
              <c:f>'Regional Distribution'!$I$5:$I$6</c:f>
              <c:strCache>
                <c:ptCount val="1"/>
                <c:pt idx="0">
                  <c:v>Other Chemicals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'Regional Distribution'!$A$7:$A$31</c:f>
              <c:strCache>
                <c:ptCount val="24"/>
                <c:pt idx="0">
                  <c:v>AK</c:v>
                </c:pt>
                <c:pt idx="1">
                  <c:v>AL</c:v>
                </c:pt>
                <c:pt idx="2">
                  <c:v>AR</c:v>
                </c:pt>
                <c:pt idx="3">
                  <c:v>CA</c:v>
                </c:pt>
                <c:pt idx="4">
                  <c:v>IA</c:v>
                </c:pt>
                <c:pt idx="5">
                  <c:v>ID</c:v>
                </c:pt>
                <c:pt idx="6">
                  <c:v>IL</c:v>
                </c:pt>
                <c:pt idx="7">
                  <c:v>IN</c:v>
                </c:pt>
                <c:pt idx="8">
                  <c:v>KS</c:v>
                </c:pt>
                <c:pt idx="9">
                  <c:v>KY</c:v>
                </c:pt>
                <c:pt idx="10">
                  <c:v>LA</c:v>
                </c:pt>
                <c:pt idx="11">
                  <c:v>MS</c:v>
                </c:pt>
                <c:pt idx="12">
                  <c:v>ND</c:v>
                </c:pt>
                <c:pt idx="13">
                  <c:v>NE</c:v>
                </c:pt>
                <c:pt idx="14">
                  <c:v>NY</c:v>
                </c:pt>
                <c:pt idx="15">
                  <c:v>OH</c:v>
                </c:pt>
                <c:pt idx="16">
                  <c:v>OK</c:v>
                </c:pt>
                <c:pt idx="17">
                  <c:v>OR</c:v>
                </c:pt>
                <c:pt idx="18">
                  <c:v>SC</c:v>
                </c:pt>
                <c:pt idx="19">
                  <c:v>TN</c:v>
                </c:pt>
                <c:pt idx="20">
                  <c:v>TX</c:v>
                </c:pt>
                <c:pt idx="21">
                  <c:v>WA</c:v>
                </c:pt>
                <c:pt idx="22">
                  <c:v>WV</c:v>
                </c:pt>
                <c:pt idx="23">
                  <c:v>WY</c:v>
                </c:pt>
              </c:strCache>
            </c:strRef>
          </c:cat>
          <c:val>
            <c:numRef>
              <c:f>'Regional Distribution'!$I$7:$I$31</c:f>
              <c:numCache>
                <c:formatCode>_("$"* #,##0_);_("$"* \(#,##0\);_("$"* "-"??_);_(@_)</c:formatCode>
                <c:ptCount val="24"/>
                <c:pt idx="1">
                  <c:v>40000000</c:v>
                </c:pt>
                <c:pt idx="10">
                  <c:v>2806900000</c:v>
                </c:pt>
                <c:pt idx="18">
                  <c:v>62000000</c:v>
                </c:pt>
                <c:pt idx="19">
                  <c:v>1600000000</c:v>
                </c:pt>
                <c:pt idx="20">
                  <c:v>1416800000</c:v>
                </c:pt>
              </c:numCache>
            </c:numRef>
          </c:val>
        </c:ser>
        <c:ser>
          <c:idx val="8"/>
          <c:order val="8"/>
          <c:tx>
            <c:strRef>
              <c:f>'Regional Distribution'!$J$5:$J$6</c:f>
              <c:strCache>
                <c:ptCount val="1"/>
                <c:pt idx="0">
                  <c:v>Polyethylene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'Regional Distribution'!$A$7:$A$31</c:f>
              <c:strCache>
                <c:ptCount val="24"/>
                <c:pt idx="0">
                  <c:v>AK</c:v>
                </c:pt>
                <c:pt idx="1">
                  <c:v>AL</c:v>
                </c:pt>
                <c:pt idx="2">
                  <c:v>AR</c:v>
                </c:pt>
                <c:pt idx="3">
                  <c:v>CA</c:v>
                </c:pt>
                <c:pt idx="4">
                  <c:v>IA</c:v>
                </c:pt>
                <c:pt idx="5">
                  <c:v>ID</c:v>
                </c:pt>
                <c:pt idx="6">
                  <c:v>IL</c:v>
                </c:pt>
                <c:pt idx="7">
                  <c:v>IN</c:v>
                </c:pt>
                <c:pt idx="8">
                  <c:v>KS</c:v>
                </c:pt>
                <c:pt idx="9">
                  <c:v>KY</c:v>
                </c:pt>
                <c:pt idx="10">
                  <c:v>LA</c:v>
                </c:pt>
                <c:pt idx="11">
                  <c:v>MS</c:v>
                </c:pt>
                <c:pt idx="12">
                  <c:v>ND</c:v>
                </c:pt>
                <c:pt idx="13">
                  <c:v>NE</c:v>
                </c:pt>
                <c:pt idx="14">
                  <c:v>NY</c:v>
                </c:pt>
                <c:pt idx="15">
                  <c:v>OH</c:v>
                </c:pt>
                <c:pt idx="16">
                  <c:v>OK</c:v>
                </c:pt>
                <c:pt idx="17">
                  <c:v>OR</c:v>
                </c:pt>
                <c:pt idx="18">
                  <c:v>SC</c:v>
                </c:pt>
                <c:pt idx="19">
                  <c:v>TN</c:v>
                </c:pt>
                <c:pt idx="20">
                  <c:v>TX</c:v>
                </c:pt>
                <c:pt idx="21">
                  <c:v>WA</c:v>
                </c:pt>
                <c:pt idx="22">
                  <c:v>WV</c:v>
                </c:pt>
                <c:pt idx="23">
                  <c:v>WY</c:v>
                </c:pt>
              </c:strCache>
            </c:strRef>
          </c:cat>
          <c:val>
            <c:numRef>
              <c:f>'Regional Distribution'!$J$7:$J$31</c:f>
              <c:numCache>
                <c:formatCode>_("$"* #,##0_);_("$"* \(#,##0\);_("$"* "-"??_);_(@_)</c:formatCode>
                <c:ptCount val="24"/>
                <c:pt idx="10">
                  <c:v>1259800000</c:v>
                </c:pt>
                <c:pt idx="20">
                  <c:v>3625648000</c:v>
                </c:pt>
                <c:pt idx="22">
                  <c:v>421800000</c:v>
                </c:pt>
              </c:numCache>
            </c:numRef>
          </c:val>
        </c:ser>
        <c:ser>
          <c:idx val="9"/>
          <c:order val="9"/>
          <c:tx>
            <c:strRef>
              <c:f>'Regional Distribution'!$K$5:$K$6</c:f>
              <c:strCache>
                <c:ptCount val="1"/>
                <c:pt idx="0">
                  <c:v>Propylene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'Regional Distribution'!$A$7:$A$31</c:f>
              <c:strCache>
                <c:ptCount val="24"/>
                <c:pt idx="0">
                  <c:v>AK</c:v>
                </c:pt>
                <c:pt idx="1">
                  <c:v>AL</c:v>
                </c:pt>
                <c:pt idx="2">
                  <c:v>AR</c:v>
                </c:pt>
                <c:pt idx="3">
                  <c:v>CA</c:v>
                </c:pt>
                <c:pt idx="4">
                  <c:v>IA</c:v>
                </c:pt>
                <c:pt idx="5">
                  <c:v>ID</c:v>
                </c:pt>
                <c:pt idx="6">
                  <c:v>IL</c:v>
                </c:pt>
                <c:pt idx="7">
                  <c:v>IN</c:v>
                </c:pt>
                <c:pt idx="8">
                  <c:v>KS</c:v>
                </c:pt>
                <c:pt idx="9">
                  <c:v>KY</c:v>
                </c:pt>
                <c:pt idx="10">
                  <c:v>LA</c:v>
                </c:pt>
                <c:pt idx="11">
                  <c:v>MS</c:v>
                </c:pt>
                <c:pt idx="12">
                  <c:v>ND</c:v>
                </c:pt>
                <c:pt idx="13">
                  <c:v>NE</c:v>
                </c:pt>
                <c:pt idx="14">
                  <c:v>NY</c:v>
                </c:pt>
                <c:pt idx="15">
                  <c:v>OH</c:v>
                </c:pt>
                <c:pt idx="16">
                  <c:v>OK</c:v>
                </c:pt>
                <c:pt idx="17">
                  <c:v>OR</c:v>
                </c:pt>
                <c:pt idx="18">
                  <c:v>SC</c:v>
                </c:pt>
                <c:pt idx="19">
                  <c:v>TN</c:v>
                </c:pt>
                <c:pt idx="20">
                  <c:v>TX</c:v>
                </c:pt>
                <c:pt idx="21">
                  <c:v>WA</c:v>
                </c:pt>
                <c:pt idx="22">
                  <c:v>WV</c:v>
                </c:pt>
                <c:pt idx="23">
                  <c:v>WY</c:v>
                </c:pt>
              </c:strCache>
            </c:strRef>
          </c:cat>
          <c:val>
            <c:numRef>
              <c:f>'Regional Distribution'!$K$7:$K$31</c:f>
              <c:numCache>
                <c:formatCode>_("$"* #,##0_);_("$"* \(#,##0\);_("$"* "-"??_);_(@_)</c:formatCode>
                <c:ptCount val="24"/>
                <c:pt idx="15">
                  <c:v>88200000</c:v>
                </c:pt>
                <c:pt idx="20">
                  <c:v>3967800000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3374512"/>
        <c:axId val="503373392"/>
      </c:barChart>
      <c:catAx>
        <c:axId val="503374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373392"/>
        <c:crosses val="autoZero"/>
        <c:auto val="1"/>
        <c:lblAlgn val="ctr"/>
        <c:lblOffset val="100"/>
        <c:noMultiLvlLbl val="0"/>
      </c:catAx>
      <c:valAx>
        <c:axId val="50337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374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18</xdr:row>
      <xdr:rowOff>0</xdr:rowOff>
    </xdr:from>
    <xdr:to>
      <xdr:col>8</xdr:col>
      <xdr:colOff>697230</xdr:colOff>
      <xdr:row>43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849630</xdr:colOff>
      <xdr:row>19</xdr:row>
      <xdr:rowOff>15240</xdr:rowOff>
    </xdr:from>
    <xdr:to>
      <xdr:col>11</xdr:col>
      <xdr:colOff>300990</xdr:colOff>
      <xdr:row>44</xdr:row>
      <xdr:rowOff>15240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</xdr:colOff>
      <xdr:row>32</xdr:row>
      <xdr:rowOff>0</xdr:rowOff>
    </xdr:from>
    <xdr:to>
      <xdr:col>8</xdr:col>
      <xdr:colOff>704850</xdr:colOff>
      <xdr:row>57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urcan Gulen" refreshedDate="43076.723770370372" createdVersion="5" refreshedVersion="5" minRefreshableVersion="3" recordCount="286">
  <cacheSource type="worksheet">
    <worksheetSource name="Table4"/>
  </cacheSource>
  <cacheFields count="15">
    <cacheField name="Company" numFmtId="0">
      <sharedItems/>
    </cacheField>
    <cacheField name="City" numFmtId="0">
      <sharedItems containsBlank="1"/>
    </cacheField>
    <cacheField name="State" numFmtId="1">
      <sharedItems count="37">
        <s v=""/>
        <s v="OH"/>
        <s v="IL"/>
        <s v="Midwest"/>
        <s v="TX"/>
        <s v="AK"/>
        <s v="AL"/>
        <s v="WV"/>
        <s v="IA"/>
        <s v="TN"/>
        <s v="IN"/>
        <s v="LA"/>
        <s v="ND"/>
        <s v="SC"/>
        <s v="FL"/>
        <s v="PA"/>
        <s v="GA"/>
        <s v="NC"/>
        <s v="MS"/>
        <s v="OK"/>
        <s v="Appalachia"/>
        <s v="MN"/>
        <s v="NH"/>
        <s v="CA"/>
        <s v="MI"/>
        <s v="WS"/>
        <s v="KS"/>
        <s v="NE"/>
        <s v="AR"/>
        <s v="KY"/>
        <s v="ID"/>
        <s v="WA"/>
        <s v="OR"/>
        <s v="NY"/>
        <s v="NM"/>
        <s v="UT"/>
        <s v="WY"/>
      </sharedItems>
    </cacheField>
    <cacheField name="Plant Type" numFmtId="0">
      <sharedItems count="22">
        <s v="Base Demand (2012)"/>
        <s v="Base Demand (2016)"/>
        <s v="Manufacturing"/>
        <s v="Metals"/>
        <s v="Nitrogen fertilizers"/>
        <s v="Hydrogen"/>
        <s v="Ethylene"/>
        <s v="Aluminum"/>
        <s v="Polyethylene"/>
        <s v="Other Chemicals"/>
        <s v="Propylene"/>
        <s v="Steel Product Manufacturing"/>
        <s v="NG Fractionation"/>
        <s v="GTL"/>
        <s v="Other Metals"/>
        <s v="Methanol"/>
        <s v="Refinery"/>
        <s v="Chlor-Alkali"/>
        <s v="Steel"/>
        <s v="Plastics"/>
        <s v="MTG"/>
        <s v="Fabricated Metal"/>
      </sharedItems>
    </cacheField>
    <cacheField name="Startup Date" numFmtId="0">
      <sharedItems containsBlank="1" containsMixedTypes="1" containsNumber="1" containsInteger="1" minValue="2012" maxValue="2022" count="13">
        <n v="2013"/>
        <n v="2016"/>
        <s v="NA"/>
        <n v="2015"/>
        <n v="2019"/>
        <n v="2018"/>
        <n v="2014"/>
        <n v="2012"/>
        <n v="2020"/>
        <m/>
        <n v="2017"/>
        <n v="2022"/>
        <n v="2021"/>
      </sharedItems>
    </cacheField>
    <cacheField name="Project Status" numFmtId="0">
      <sharedItems count="9">
        <s v="Completed"/>
        <s v="In Progress"/>
        <s v="Planning"/>
        <s v="Suspended"/>
        <s v="Permits"/>
        <s v="Included in the base demand"/>
        <s v="Under Consideration"/>
        <s v="Cancelled "/>
        <s v="FEED"/>
      </sharedItems>
    </cacheField>
    <cacheField name="Project Type" numFmtId="0">
      <sharedItems count="5">
        <s v="New"/>
        <s v="Expansion"/>
        <s v="Restart"/>
        <s v="Relocation"/>
        <s v="Expansion and New "/>
      </sharedItems>
    </cacheField>
    <cacheField name="Investment $" numFmtId="0">
      <sharedItems containsBlank="1" containsMixedTypes="1" containsNumber="1" minValue="0" maxValue="14000000000"/>
    </cacheField>
    <cacheField name="Capacity" numFmtId="0">
      <sharedItems containsString="0" containsBlank="1" containsNumber="1" minValue="0" maxValue="7200000"/>
    </cacheField>
    <cacheField name="Unit" numFmtId="0">
      <sharedItems containsBlank="1"/>
    </cacheField>
    <cacheField name="Utilization" numFmtId="0">
      <sharedItems containsString="0" containsBlank="1" containsNumber="1" minValue="0.76" maxValue="1"/>
    </cacheField>
    <cacheField name="NG Cons (Low) MMBTU" numFmtId="0">
      <sharedItems containsBlank="1" containsMixedTypes="1" containsNumber="1" minValue="0" maxValue="7879239900"/>
    </cacheField>
    <cacheField name="NG Cons (Low) BCFD" numFmtId="0">
      <sharedItems containsString="0" containsBlank="1" containsNumber="1" minValue="0" maxValue="21.586958630136987"/>
    </cacheField>
    <cacheField name="NG Cons (High) MMBTU" numFmtId="0">
      <sharedItems containsString="0" containsBlank="1" containsNumber="1" minValue="0" maxValue="7879239900"/>
    </cacheField>
    <cacheField name="NG Cons (High) BCFD" numFmtId="0">
      <sharedItems containsString="0" containsBlank="1" containsNumber="1" minValue="0" maxValue="21.58695863013698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6">
  <r>
    <s v="_Base demand"/>
    <m/>
    <x v="0"/>
    <x v="0"/>
    <x v="0"/>
    <x v="0"/>
    <x v="0"/>
    <n v="0"/>
    <n v="0"/>
    <m/>
    <n v="1"/>
    <n v="7223835000"/>
    <n v="19.791328767123289"/>
    <n v="7223835000"/>
    <n v="19.791328767123289"/>
  </r>
  <r>
    <s v="_Base demand"/>
    <m/>
    <x v="0"/>
    <x v="1"/>
    <x v="1"/>
    <x v="0"/>
    <x v="0"/>
    <n v="0"/>
    <n v="0"/>
    <m/>
    <n v="1"/>
    <n v="7879239900"/>
    <n v="21.586958630136987"/>
    <n v="7879239900"/>
    <n v="21.586958630136987"/>
  </r>
  <r>
    <s v="Abbott"/>
    <s v="Tipp City OH "/>
    <x v="1"/>
    <x v="2"/>
    <x v="0"/>
    <x v="1"/>
    <x v="0"/>
    <n v="270000000"/>
    <m/>
    <m/>
    <m/>
    <m/>
    <m/>
    <m/>
    <m/>
  </r>
  <r>
    <s v="AFCO Industries"/>
    <s v="Olmsted, IL"/>
    <x v="2"/>
    <x v="3"/>
    <x v="2"/>
    <x v="2"/>
    <x v="0"/>
    <n v="1900000"/>
    <m/>
    <m/>
    <n v="0.76"/>
    <m/>
    <m/>
    <m/>
    <n v="0"/>
  </r>
  <r>
    <s v="Agrium "/>
    <s v="Midwest"/>
    <x v="3"/>
    <x v="4"/>
    <x v="2"/>
    <x v="3"/>
    <x v="0"/>
    <n v="3000000000"/>
    <n v="1800000"/>
    <s v="mt/yr"/>
    <n v="0.76"/>
    <n v="42230160"/>
    <n v="0.1156990684931507"/>
    <n v="65844000"/>
    <n v="0.18039452054794519"/>
  </r>
  <r>
    <s v="Agrium "/>
    <s v="Borger, TX"/>
    <x v="4"/>
    <x v="4"/>
    <x v="3"/>
    <x v="0"/>
    <x v="1"/>
    <n v="720000000"/>
    <n v="610000"/>
    <s v="mt/yr"/>
    <n v="0.76"/>
    <n v="14311332"/>
    <n v="3.9209128767123291E-2"/>
    <n v="22313800"/>
    <n v="6.1133698630136984E-2"/>
  </r>
  <r>
    <s v="Agrium "/>
    <s v="Nikiski, AK"/>
    <x v="5"/>
    <x v="4"/>
    <x v="4"/>
    <x v="4"/>
    <x v="2"/>
    <n v="250000000"/>
    <n v="650000"/>
    <s v="mt/yr"/>
    <n v="0.76"/>
    <n v="29200000"/>
    <n v="0.08"/>
    <n v="29200000"/>
    <n v="0.08"/>
  </r>
  <r>
    <s v="Air Products"/>
    <s v="Mont Belvieu, TX"/>
    <x v="4"/>
    <x v="5"/>
    <x v="3"/>
    <x v="2"/>
    <x v="0"/>
    <n v="24444444.444444444"/>
    <n v="40"/>
    <s v="MMSCFD"/>
    <n v="0.76"/>
    <n v="6467800"/>
    <n v="1.772E-2"/>
    <n v="6467800"/>
    <n v="1.772E-2"/>
  </r>
  <r>
    <s v="Air Products"/>
    <s v="Baytown, TX"/>
    <x v="4"/>
    <x v="5"/>
    <x v="5"/>
    <x v="1"/>
    <x v="0"/>
    <n v="400000000"/>
    <n v="125"/>
    <s v="MMSCFD"/>
    <n v="0.76"/>
    <n v="15361025"/>
    <n v="4.2084999999999997E-2"/>
    <n v="16644000"/>
    <n v="4.5599999999999995E-2"/>
  </r>
  <r>
    <s v="Airbus"/>
    <s v="Mobile, AL"/>
    <x v="6"/>
    <x v="2"/>
    <x v="1"/>
    <x v="0"/>
    <x v="0"/>
    <n v="600000000"/>
    <m/>
    <m/>
    <m/>
    <m/>
    <m/>
    <m/>
    <m/>
  </r>
  <r>
    <s v="Aither Chemical"/>
    <s v="Martinsville, WV"/>
    <x v="7"/>
    <x v="6"/>
    <x v="1"/>
    <x v="3"/>
    <x v="0"/>
    <n v="500000000"/>
    <n v="272155"/>
    <s v="mt/yr"/>
    <n v="0.76"/>
    <n v="3991969.54"/>
    <n v="1.0936902849315068E-2"/>
    <n v="6385082.8859999999"/>
    <n v="1.7493377769863015E-2"/>
  </r>
  <r>
    <s v="Alcoa"/>
    <s v="Davenport, IA"/>
    <x v="8"/>
    <x v="7"/>
    <x v="6"/>
    <x v="0"/>
    <x v="1"/>
    <n v="300000000"/>
    <n v="20000"/>
    <s v="mt/yr"/>
    <n v="0.79"/>
    <n v="45290.700000000004"/>
    <n v="1.240841095890411E-4"/>
    <n v="45290.700000000004"/>
    <n v="1.240841095890411E-4"/>
  </r>
  <r>
    <s v="Alcoa"/>
    <s v="Alcoa, TN"/>
    <x v="9"/>
    <x v="7"/>
    <x v="3"/>
    <x v="0"/>
    <x v="1"/>
    <n v="275000000"/>
    <n v="20000"/>
    <s v="mt/yr"/>
    <n v="0.79"/>
    <n v="45290.700000000004"/>
    <n v="1.240841095890411E-4"/>
    <n v="45290.700000000004"/>
    <n v="1.240841095890411E-4"/>
  </r>
  <r>
    <s v="Alcoa"/>
    <s v="Lafayette, IN"/>
    <x v="10"/>
    <x v="7"/>
    <x v="6"/>
    <x v="0"/>
    <x v="0"/>
    <n v="90000000"/>
    <n v="20000"/>
    <s v="mt/yr"/>
    <n v="0.79"/>
    <n v="45290.700000000004"/>
    <n v="1.240841095890411E-4"/>
    <n v="45290.700000000004"/>
    <n v="1.240841095890411E-4"/>
  </r>
  <r>
    <s v="AM Agrigen Industries"/>
    <s v="St Charles Parish, LA"/>
    <x v="11"/>
    <x v="4"/>
    <x v="5"/>
    <x v="2"/>
    <x v="0"/>
    <n v="1200000000"/>
    <n v="922985"/>
    <s v="mt/yr"/>
    <n v="0.76"/>
    <n v="21654335.682"/>
    <n v="5.9326947073972604E-2"/>
    <n v="33762791.299999997"/>
    <n v="9.2500798082191776E-2"/>
  </r>
  <r>
    <s v="Appalachian Resins"/>
    <s v="Wheeling, WV"/>
    <x v="7"/>
    <x v="6"/>
    <x v="3"/>
    <x v="3"/>
    <x v="0"/>
    <n v="400000000"/>
    <n v="230424"/>
    <s v="mt/yr"/>
    <n v="0.76"/>
    <n v="3379859.2320000003"/>
    <n v="9.2598883068493159E-3"/>
    <n v="5406023.5488"/>
    <n v="1.4811023421369862E-2"/>
  </r>
  <r>
    <s v="Appalachian Resins"/>
    <s v="Wheeling, WV"/>
    <x v="7"/>
    <x v="8"/>
    <x v="3"/>
    <x v="2"/>
    <x v="0"/>
    <n v="100699200"/>
    <n v="226800"/>
    <s v="mt/yr"/>
    <n v="0.76"/>
    <n v="827366.40000000002"/>
    <n v="2.2667572602739724E-3"/>
    <n v="827366.40000000002"/>
    <n v="2.2667572602739724E-3"/>
  </r>
  <r>
    <s v="ArcelorMittal"/>
    <s v="Cleveland OH"/>
    <x v="1"/>
    <x v="3"/>
    <x v="7"/>
    <x v="5"/>
    <x v="2"/>
    <n v="4000000"/>
    <n v="480000"/>
    <s v="mt/yr"/>
    <n v="0.76"/>
    <n v="960000"/>
    <n v="2.6301369863013699E-3"/>
    <n v="960000"/>
    <n v="2.6301369863013699E-3"/>
  </r>
  <r>
    <s v="Arkema"/>
    <s v="Clear Lake and Bayport, TX"/>
    <x v="4"/>
    <x v="9"/>
    <x v="0"/>
    <x v="0"/>
    <x v="1"/>
    <n v="110000000"/>
    <m/>
    <m/>
    <n v="0.76"/>
    <m/>
    <n v="0"/>
    <m/>
    <n v="0"/>
  </r>
  <r>
    <s v="Ascend Performance Materials"/>
    <s v="Alvin, TX"/>
    <x v="4"/>
    <x v="10"/>
    <x v="1"/>
    <x v="3"/>
    <x v="0"/>
    <n v="1200000000"/>
    <n v="907184.74"/>
    <s v="mt/yr"/>
    <n v="0.76"/>
    <n v="4560780.5618760008"/>
    <n v="1.2495289210619182E-2"/>
    <n v="9121561.1237520017"/>
    <n v="2.4990578421238363E-2"/>
  </r>
  <r>
    <s v="Avalon Rare Metals "/>
    <s v="Geismar, LA"/>
    <x v="11"/>
    <x v="9"/>
    <x v="1"/>
    <x v="2"/>
    <x v="0"/>
    <n v="300000000"/>
    <m/>
    <m/>
    <n v="0.76"/>
    <m/>
    <m/>
    <m/>
    <m/>
  </r>
  <r>
    <s v="Axaill/Lotte JV"/>
    <s v="Lake Charles, LA"/>
    <x v="11"/>
    <x v="6"/>
    <x v="4"/>
    <x v="1"/>
    <x v="0"/>
    <n v="3000000000"/>
    <n v="1000000"/>
    <s v="mt/yr"/>
    <n v="0.76"/>
    <n v="14668000"/>
    <n v="4.0186301369863009E-2"/>
    <n v="23461200"/>
    <n v="6.4277260273972611E-2"/>
  </r>
  <r>
    <s v="Badlands"/>
    <s v="Shangri-La"/>
    <x v="11"/>
    <x v="8"/>
    <x v="4"/>
    <x v="6"/>
    <x v="0"/>
    <m/>
    <m/>
    <m/>
    <m/>
    <m/>
    <n v="0"/>
    <m/>
    <m/>
  </r>
  <r>
    <s v="Badlands"/>
    <m/>
    <x v="12"/>
    <x v="8"/>
    <x v="8"/>
    <x v="2"/>
    <x v="0"/>
    <n v="6500000000"/>
    <n v="1530000"/>
    <s v="mt/yr"/>
    <n v="0.76"/>
    <n v="5581440"/>
    <n v="1.5291616438356163E-2"/>
    <n v="5581440"/>
    <n v="1.5291616438356163E-2"/>
  </r>
  <r>
    <s v="BASF"/>
    <s v="Freeport, TX"/>
    <x v="4"/>
    <x v="9"/>
    <x v="6"/>
    <x v="1"/>
    <x v="0"/>
    <n v="90000000"/>
    <m/>
    <m/>
    <n v="0.76"/>
    <m/>
    <m/>
    <m/>
    <m/>
  </r>
  <r>
    <s v="BASF"/>
    <s v="Seneca, SC"/>
    <x v="13"/>
    <x v="9"/>
    <x v="0"/>
    <x v="0"/>
    <x v="1"/>
    <n v="62000000"/>
    <m/>
    <m/>
    <n v="0.76"/>
    <m/>
    <n v="0"/>
    <m/>
    <n v="0"/>
  </r>
  <r>
    <s v="BASF"/>
    <s v="Geismar, LA"/>
    <x v="11"/>
    <x v="9"/>
    <x v="6"/>
    <x v="1"/>
    <x v="0"/>
    <n v="13900000"/>
    <m/>
    <m/>
    <n v="0.76"/>
    <m/>
    <m/>
    <m/>
    <m/>
  </r>
  <r>
    <s v="BASF"/>
    <s v="Chattanooga, TN"/>
    <x v="9"/>
    <x v="9"/>
    <x v="6"/>
    <x v="1"/>
    <x v="1"/>
    <m/>
    <m/>
    <m/>
    <n v="0.76"/>
    <m/>
    <m/>
    <m/>
    <m/>
  </r>
  <r>
    <s v="BASF"/>
    <s v="Freeport, TX"/>
    <x v="4"/>
    <x v="10"/>
    <x v="9"/>
    <x v="3"/>
    <x v="0"/>
    <n v="1000000000"/>
    <n v="475000"/>
    <s v="mt/yr"/>
    <n v="0.76"/>
    <n v="2388015"/>
    <n v="6.5425068493150679E-3"/>
    <n v="4776030"/>
    <n v="1.3085013698630136E-2"/>
  </r>
  <r>
    <s v="BASF Total Petrochemicals"/>
    <s v="Port Arthur, TX"/>
    <x v="4"/>
    <x v="6"/>
    <x v="0"/>
    <x v="0"/>
    <x v="1"/>
    <n v="3000000000"/>
    <n v="1000000"/>
    <s v="mt/yr"/>
    <n v="0.76"/>
    <n v="14668000"/>
    <n v="4.0186301369863009E-2"/>
    <n v="23461200"/>
    <n v="6.4277260273972611E-2"/>
  </r>
  <r>
    <s v="BASF Total Petrochemicals"/>
    <s v="Port Arthur, TX"/>
    <x v="4"/>
    <x v="6"/>
    <x v="6"/>
    <x v="0"/>
    <x v="1"/>
    <n v="500000000"/>
    <n v="150000"/>
    <s v="mt/yr"/>
    <n v="0.76"/>
    <n v="2200200"/>
    <n v="6.027945205479451E-3"/>
    <n v="3519180"/>
    <n v="9.6415890410958896E-3"/>
  </r>
  <r>
    <s v="BASF/Yara JV"/>
    <s v="Freeport, TX"/>
    <x v="4"/>
    <x v="4"/>
    <x v="10"/>
    <x v="1"/>
    <x v="0"/>
    <n v="600000000"/>
    <n v="750000"/>
    <s v="mt/yr"/>
    <n v="0.76"/>
    <n v="17595900"/>
    <n v="4.8207945205479455E-2"/>
    <n v="27435000"/>
    <n v="7.516438356164383E-2"/>
  </r>
  <r>
    <s v="Benteler"/>
    <s v="Shreveport,LA"/>
    <x v="11"/>
    <x v="11"/>
    <x v="3"/>
    <x v="0"/>
    <x v="0"/>
    <n v="975000000"/>
    <n v="320000"/>
    <s v="mt/yr"/>
    <n v="0.8"/>
    <n v="2412800"/>
    <n v="6.6104109589041104E-3"/>
    <n v="3328000"/>
    <n v="9.1178082191780817E-3"/>
  </r>
  <r>
    <s v="BioNitrogen"/>
    <s v="Pointe Coupee Parish, LA"/>
    <x v="11"/>
    <x v="4"/>
    <x v="3"/>
    <x v="7"/>
    <x v="0"/>
    <n v="1000000000"/>
    <n v="0"/>
    <s v="mt/yr"/>
    <n v="0.76"/>
    <s v="biomass instead of gas"/>
    <m/>
    <n v="0"/>
    <m/>
  </r>
  <r>
    <s v="BioNitrogen"/>
    <s v="Hendry, Florida"/>
    <x v="14"/>
    <x v="4"/>
    <x v="1"/>
    <x v="7"/>
    <x v="0"/>
    <n v="300000000"/>
    <n v="0"/>
    <s v="mt/yr"/>
    <n v="0.76"/>
    <s v="biomass instead of gas"/>
    <m/>
    <n v="0"/>
    <m/>
  </r>
  <r>
    <s v="Boardwalk Pipeline Partners"/>
    <s v="Edna, TX"/>
    <x v="4"/>
    <x v="12"/>
    <x v="0"/>
    <x v="0"/>
    <x v="0"/>
    <n v="180000000"/>
    <n v="27000"/>
    <s v="bpd"/>
    <n v="0.76"/>
    <m/>
    <n v="0"/>
    <m/>
    <n v="0"/>
  </r>
  <r>
    <s v="Braskem (Ascent)"/>
    <s v="Wood County, WV"/>
    <x v="7"/>
    <x v="6"/>
    <x v="8"/>
    <x v="1"/>
    <x v="0"/>
    <n v="3200000000"/>
    <n v="1050000"/>
    <s v="mt/yr"/>
    <n v="0.76"/>
    <n v="15401400"/>
    <n v="4.2195616438356162E-2"/>
    <n v="24634260"/>
    <n v="6.749112328767122E-2"/>
  </r>
  <r>
    <s v="Braskem (Ascent)"/>
    <s v="Wood County, WV"/>
    <x v="7"/>
    <x v="8"/>
    <x v="8"/>
    <x v="1"/>
    <x v="0"/>
    <n v="155400000"/>
    <n v="350000"/>
    <s v="mt/yr"/>
    <n v="0.76"/>
    <n v="1276800"/>
    <n v="3.4980821917808217E-3"/>
    <n v="1276800"/>
    <n v="3.4980821917808217E-3"/>
  </r>
  <r>
    <s v="Braskem (Ascent)"/>
    <s v="Wood County, WV"/>
    <x v="7"/>
    <x v="8"/>
    <x v="8"/>
    <x v="1"/>
    <x v="0"/>
    <n v="133200000"/>
    <n v="300000"/>
    <s v="mt/yr"/>
    <n v="0.76"/>
    <n v="1094400"/>
    <n v="2.9983561643835616E-3"/>
    <n v="1094400"/>
    <n v="2.9983561643835616E-3"/>
  </r>
  <r>
    <s v="Braskem (Ascent)"/>
    <s v="Wood County, WV"/>
    <x v="7"/>
    <x v="8"/>
    <x v="8"/>
    <x v="1"/>
    <x v="0"/>
    <n v="133200000"/>
    <n v="300000"/>
    <s v="mt/yr"/>
    <n v="0.76"/>
    <n v="1094400"/>
    <n v="2.9983561643835616E-3"/>
    <n v="1094400"/>
    <n v="2.9983561643835616E-3"/>
  </r>
  <r>
    <s v="Bridgestone"/>
    <s v="Aiken, SC"/>
    <x v="13"/>
    <x v="2"/>
    <x v="3"/>
    <x v="1"/>
    <x v="0"/>
    <n v="900000000"/>
    <n v="130"/>
    <s v="mt/yr"/>
    <m/>
    <m/>
    <m/>
    <m/>
    <m/>
  </r>
  <r>
    <s v="Bridgestone"/>
    <s v="Aiken, SC"/>
    <x v="13"/>
    <x v="2"/>
    <x v="0"/>
    <x v="0"/>
    <x v="1"/>
    <n v="346000000"/>
    <n v="37750"/>
    <s v="tires/d"/>
    <m/>
    <m/>
    <n v="0"/>
    <m/>
    <n v="0"/>
  </r>
  <r>
    <s v="Bridgestone"/>
    <s v="Bloomington, IL"/>
    <x v="2"/>
    <x v="2"/>
    <x v="0"/>
    <x v="0"/>
    <x v="0"/>
    <n v="12000000"/>
    <m/>
    <m/>
    <m/>
    <m/>
    <n v="0"/>
    <m/>
    <n v="0"/>
  </r>
  <r>
    <s v="C3 Petrochemicals (PDH)"/>
    <s v="Alvin, TX"/>
    <x v="4"/>
    <x v="10"/>
    <x v="3"/>
    <x v="4"/>
    <x v="0"/>
    <n v="1200000000"/>
    <n v="1000000"/>
    <s v="mt/yr"/>
    <n v="0.76"/>
    <n v="5027400"/>
    <n v="1.3773698630136983E-2"/>
    <n v="10054800"/>
    <n v="2.7547397260273967E-2"/>
  </r>
  <r>
    <s v="Calumet Specialty Products Partners"/>
    <s v="Karns City, PA"/>
    <x v="15"/>
    <x v="13"/>
    <x v="6"/>
    <x v="3"/>
    <x v="0"/>
    <n v="130000000"/>
    <n v="1400"/>
    <s v="bpd"/>
    <n v="0.76"/>
    <n v="4016574.4640000002"/>
    <n v="1.1004313600000001E-2"/>
    <n v="4544921.5999999996"/>
    <n v="1.2451839999999999E-2"/>
  </r>
  <r>
    <s v="Carbon Sciences "/>
    <m/>
    <x v="4"/>
    <x v="13"/>
    <x v="9"/>
    <x v="2"/>
    <x v="0"/>
    <n v="135000000"/>
    <n v="1000"/>
    <s v="bpd"/>
    <n v="0.76"/>
    <n v="2868981.7600000002"/>
    <n v="7.8602240000000007E-3"/>
    <n v="3246372.5714285714"/>
    <n v="8.8941714285714294E-3"/>
  </r>
  <r>
    <s v="Carpenter Technology"/>
    <s v="Reading, PA"/>
    <x v="15"/>
    <x v="3"/>
    <x v="7"/>
    <x v="5"/>
    <x v="1"/>
    <n v="6000000"/>
    <n v="6000"/>
    <s v="mt/yr"/>
    <n v="0.76"/>
    <n v="12000"/>
    <n v="3.2876712328767127E-5"/>
    <n v="12000"/>
    <n v="3.2876712328767127E-5"/>
  </r>
  <r>
    <s v="Carpenter Technology"/>
    <s v="Limestone, AL"/>
    <x v="6"/>
    <x v="14"/>
    <x v="6"/>
    <x v="0"/>
    <x v="0"/>
    <n v="500000000"/>
    <n v="27000"/>
    <s v="mt/yr"/>
    <n v="0.8"/>
    <n v="203580.00000000003"/>
    <n v="5.5775342465753431E-4"/>
    <n v="280800"/>
    <n v="7.6931506849315062E-4"/>
  </r>
  <r>
    <s v="Castleton Commodities"/>
    <s v="Plaquemine, LA"/>
    <x v="11"/>
    <x v="15"/>
    <x v="5"/>
    <x v="2"/>
    <x v="0"/>
    <n v="1200000000"/>
    <n v="1825000"/>
    <s v="mt/yr"/>
    <n v="0.76"/>
    <n v="44339616"/>
    <n v="0.1214784"/>
    <n v="45263358"/>
    <n v="0.12400919999999999"/>
  </r>
  <r>
    <s v="Caterpillar"/>
    <s v="Athens, GA"/>
    <x v="16"/>
    <x v="2"/>
    <x v="2"/>
    <x v="6"/>
    <x v="0"/>
    <n v="200000000"/>
    <m/>
    <m/>
    <m/>
    <m/>
    <m/>
    <m/>
    <m/>
  </r>
  <r>
    <s v="Celanese"/>
    <s v="Bishop, TX"/>
    <x v="4"/>
    <x v="15"/>
    <x v="5"/>
    <x v="4"/>
    <x v="0"/>
    <n v="800000000"/>
    <n v="1300000"/>
    <s v="mt/yr"/>
    <n v="0.76"/>
    <n v="31584384"/>
    <n v="8.6532558904109574E-2"/>
    <n v="32242392"/>
    <n v="8.8335320547945212E-2"/>
  </r>
  <r>
    <s v="Celanese/Mitsui JV"/>
    <s v="Clear Lake, TX"/>
    <x v="4"/>
    <x v="15"/>
    <x v="3"/>
    <x v="0"/>
    <x v="0"/>
    <n v="910000000"/>
    <n v="1400000"/>
    <s v="mt/yr"/>
    <n v="0.76"/>
    <n v="34013952"/>
    <n v="9.318890958904108E-2"/>
    <n v="34722576"/>
    <n v="9.5130345205479458E-2"/>
  </r>
  <r>
    <s v="Celanese/Mitsui JV"/>
    <s v="Bishop, TX"/>
    <x v="4"/>
    <x v="15"/>
    <x v="8"/>
    <x v="6"/>
    <x v="0"/>
    <n v="910000000"/>
    <n v="1400000"/>
    <s v="mt/yr"/>
    <n v="0.76"/>
    <n v="34013952"/>
    <n v="9.318890958904108E-2"/>
    <n v="34722576"/>
    <n v="9.5130345205479458E-2"/>
  </r>
  <r>
    <s v="CF Industries"/>
    <s v="Port Neal, IA"/>
    <x v="8"/>
    <x v="4"/>
    <x v="1"/>
    <x v="0"/>
    <x v="1"/>
    <n v="1700000000"/>
    <n v="800000"/>
    <s v="mt/yr"/>
    <n v="0.76"/>
    <n v="18768960"/>
    <n v="5.1421808219178085E-2"/>
    <n v="29264000"/>
    <n v="8.0175342465753419E-2"/>
  </r>
  <r>
    <s v="CF Industries"/>
    <s v="Donaldsonville, LA"/>
    <x v="11"/>
    <x v="4"/>
    <x v="1"/>
    <x v="0"/>
    <x v="1"/>
    <n v="2100000000"/>
    <n v="1800000"/>
    <s v="mt/yr"/>
    <n v="0.76"/>
    <n v="42230160"/>
    <n v="0.1156990684931507"/>
    <n v="65844000"/>
    <n v="0.18039452054794519"/>
  </r>
  <r>
    <s v="Chesapeake/M3/EV Energy "/>
    <s v="Harrison, OH"/>
    <x v="1"/>
    <x v="12"/>
    <x v="0"/>
    <x v="0"/>
    <x v="0"/>
    <n v="900000000"/>
    <n v="90000"/>
    <s v="bpd"/>
    <n v="0.76"/>
    <m/>
    <n v="0"/>
    <m/>
    <n v="0"/>
  </r>
  <r>
    <s v="Chevron Phillips Chemical"/>
    <s v="Sweeny, TX"/>
    <x v="4"/>
    <x v="6"/>
    <x v="6"/>
    <x v="0"/>
    <x v="1"/>
    <n v="165000000"/>
    <n v="90718"/>
    <s v="mt/yr"/>
    <n v="0.76"/>
    <n v="1330651.6240000001"/>
    <n v="3.6456208876712334E-3"/>
    <n v="2128353.1416000002"/>
    <n v="5.8311044975342466E-3"/>
  </r>
  <r>
    <s v="Chevron Phillips Chemical"/>
    <s v="Baytown, TX"/>
    <x v="4"/>
    <x v="6"/>
    <x v="10"/>
    <x v="1"/>
    <x v="0"/>
    <n v="5556000000"/>
    <n v="1500000"/>
    <s v="mt/yr"/>
    <n v="0.76"/>
    <n v="22002000"/>
    <n v="6.027945205479452E-2"/>
    <n v="35191800"/>
    <n v="9.641589041095891E-2"/>
  </r>
  <r>
    <s v="Chevron Phillips Chemical"/>
    <s v="Sweeny, TX"/>
    <x v="4"/>
    <x v="12"/>
    <x v="0"/>
    <x v="0"/>
    <x v="1"/>
    <n v="110000000"/>
    <n v="22000"/>
    <s v="bpd"/>
    <n v="0.76"/>
    <m/>
    <n v="0"/>
    <m/>
    <n v="0"/>
  </r>
  <r>
    <s v="Chevron Phillips Chemical"/>
    <s v="Baytown, TX"/>
    <x v="4"/>
    <x v="9"/>
    <x v="6"/>
    <x v="0"/>
    <x v="0"/>
    <n v="250000000"/>
    <n v="250000"/>
    <s v="mt/yr"/>
    <n v="0.76"/>
    <m/>
    <n v="0"/>
    <m/>
    <n v="0"/>
  </r>
  <r>
    <s v="Chevron Phillips Chemical"/>
    <s v="Baytown, TX"/>
    <x v="4"/>
    <x v="9"/>
    <x v="3"/>
    <x v="4"/>
    <x v="1"/>
    <n v="125000000"/>
    <n v="100000"/>
    <s v="mt/yr"/>
    <n v="0.76"/>
    <m/>
    <m/>
    <m/>
    <m/>
  </r>
  <r>
    <s v="Chevron Phillips Chemical"/>
    <s v="Sweeny, TX"/>
    <x v="4"/>
    <x v="9"/>
    <x v="2"/>
    <x v="2"/>
    <x v="0"/>
    <m/>
    <m/>
    <m/>
    <n v="0.76"/>
    <m/>
    <m/>
    <m/>
    <n v="0"/>
  </r>
  <r>
    <s v="Chevron Phillips Chemical"/>
    <s v="Sweeny, TX"/>
    <x v="4"/>
    <x v="8"/>
    <x v="10"/>
    <x v="1"/>
    <x v="0"/>
    <n v="222000000"/>
    <n v="500000"/>
    <s v="mt/yr"/>
    <n v="0.76"/>
    <n v="1824000"/>
    <n v="4.9972602739726032E-3"/>
    <n v="1824000"/>
    <n v="4.9972602739726032E-3"/>
  </r>
  <r>
    <s v="Chevron Phillips Chemical"/>
    <s v="Sweeny, TX"/>
    <x v="4"/>
    <x v="8"/>
    <x v="10"/>
    <x v="1"/>
    <x v="0"/>
    <n v="222000000"/>
    <n v="500000"/>
    <s v="mt/yr"/>
    <n v="0.76"/>
    <n v="1824000"/>
    <n v="4.9972602739726032E-3"/>
    <n v="1824000"/>
    <n v="4.9972602739726032E-3"/>
  </r>
  <r>
    <s v="CHS Inc."/>
    <s v="Spiritwood, ND"/>
    <x v="12"/>
    <x v="4"/>
    <x v="5"/>
    <x v="7"/>
    <x v="0"/>
    <n v="3000000000"/>
    <n v="876000"/>
    <s v="mt/yr"/>
    <n v="0.76"/>
    <n v="20552011.199999999"/>
    <n v="5.6306880000000011E-2"/>
    <n v="32044080"/>
    <n v="8.7792000000000009E-2"/>
  </r>
  <r>
    <s v="Coilpus Inc"/>
    <m/>
    <x v="17"/>
    <x v="3"/>
    <x v="7"/>
    <x v="5"/>
    <x v="1"/>
    <n v="12700000"/>
    <n v="12000"/>
    <s v="mt/yr"/>
    <n v="0.76"/>
    <n v="24000"/>
    <n v="6.5753424657534254E-5"/>
    <n v="24000"/>
    <n v="6.5753424657534254E-5"/>
  </r>
  <r>
    <s v="Connell Group-Chemical Inv Corp"/>
    <s v="Point Comfort, TX"/>
    <x v="4"/>
    <x v="15"/>
    <x v="8"/>
    <x v="6"/>
    <x v="0"/>
    <n v="4500000000"/>
    <n v="7200000"/>
    <s v=" mt/yr "/>
    <n v="0.76"/>
    <n v="174928896"/>
    <n v="0.47925724931506852"/>
    <n v="178573248"/>
    <n v="0.48924177534246571"/>
  </r>
  <r>
    <s v="Continental"/>
    <s v="Sumter, SC"/>
    <x v="13"/>
    <x v="2"/>
    <x v="0"/>
    <x v="0"/>
    <x v="0"/>
    <n v="500000000"/>
    <m/>
    <m/>
    <m/>
    <m/>
    <n v="0"/>
    <m/>
    <n v="0"/>
  </r>
  <r>
    <s v="Cronus Chemical"/>
    <s v="Tuscola, IL"/>
    <x v="2"/>
    <x v="4"/>
    <x v="4"/>
    <x v="4"/>
    <x v="0"/>
    <n v="1500000000"/>
    <n v="1400000"/>
    <s v="mt/yr"/>
    <n v="0.76"/>
    <n v="32845680"/>
    <n v="8.998816438356165E-2"/>
    <n v="51212000"/>
    <n v="0.14030684931506851"/>
  </r>
  <r>
    <s v="Crosstex Energy Services (phase 2)"/>
    <s v="Acadia, LA"/>
    <x v="11"/>
    <x v="12"/>
    <x v="6"/>
    <x v="1"/>
    <x v="1"/>
    <s v="Incl."/>
    <n v="50000"/>
    <s v="bpd"/>
    <n v="0.76"/>
    <m/>
    <m/>
    <m/>
    <m/>
  </r>
  <r>
    <s v="Crosstex Energy Services (Eunice)"/>
    <s v="Acadia, LA"/>
    <x v="11"/>
    <x v="12"/>
    <x v="0"/>
    <x v="0"/>
    <x v="2"/>
    <n v="7600000"/>
    <n v="15000"/>
    <s v="bpd"/>
    <n v="0.76"/>
    <m/>
    <n v="0"/>
    <m/>
    <n v="0"/>
  </r>
  <r>
    <s v="Cytec Industries"/>
    <s v="Greenville, TX"/>
    <x v="4"/>
    <x v="9"/>
    <x v="3"/>
    <x v="1"/>
    <x v="1"/>
    <n v="6800000"/>
    <m/>
    <m/>
    <n v="0.76"/>
    <m/>
    <m/>
    <m/>
    <m/>
  </r>
  <r>
    <s v="Cytec Industries"/>
    <s v="Piedmont, SC"/>
    <x v="13"/>
    <x v="9"/>
    <x v="0"/>
    <x v="0"/>
    <x v="2"/>
    <m/>
    <m/>
    <m/>
    <n v="0.76"/>
    <m/>
    <n v="0"/>
    <m/>
    <n v="0"/>
  </r>
  <r>
    <s v="Dakota Gasification"/>
    <s v="Beulah, ND"/>
    <x v="12"/>
    <x v="4"/>
    <x v="10"/>
    <x v="1"/>
    <x v="0"/>
    <n v="500000000"/>
    <n v="380000"/>
    <s v="mt/yr"/>
    <n v="0.76"/>
    <n v="8915256"/>
    <n v="2.4425358904109587E-2"/>
    <n v="13900400"/>
    <n v="3.8083287671232875E-2"/>
  </r>
  <r>
    <s v="Dakota Prairie"/>
    <s v="Dickinson, ND"/>
    <x v="12"/>
    <x v="16"/>
    <x v="6"/>
    <x v="1"/>
    <x v="0"/>
    <n v="300000000"/>
    <n v="20000"/>
    <s v="bbl/sd"/>
    <m/>
    <m/>
    <m/>
    <m/>
    <m/>
  </r>
  <r>
    <s v="Dominion Transmission"/>
    <s v="Marshall, WV"/>
    <x v="7"/>
    <x v="12"/>
    <x v="7"/>
    <x v="5"/>
    <x v="0"/>
    <n v="275000000"/>
    <n v="36000"/>
    <s v="bpd"/>
    <n v="0.76"/>
    <m/>
    <n v="0"/>
    <m/>
    <n v="0"/>
  </r>
  <r>
    <s v="Dominion Transmission"/>
    <s v="Marshall, WV"/>
    <x v="7"/>
    <x v="12"/>
    <x v="0"/>
    <x v="0"/>
    <x v="0"/>
    <n v="225000000"/>
    <n v="30000"/>
    <s v="bpd"/>
    <n v="0.76"/>
    <m/>
    <n v="0"/>
    <m/>
    <n v="0"/>
  </r>
  <r>
    <s v="Dow Chemical"/>
    <s v="Freeport, TX"/>
    <x v="4"/>
    <x v="6"/>
    <x v="10"/>
    <x v="1"/>
    <x v="0"/>
    <n v="3475000000"/>
    <n v="1500000"/>
    <s v="mt/yr"/>
    <n v="0.76"/>
    <n v="22002000"/>
    <n v="6.027945205479452E-2"/>
    <n v="35191800"/>
    <n v="9.641589041095891E-2"/>
  </r>
  <r>
    <s v="Dow Chemical"/>
    <s v="St. Charles, LA"/>
    <x v="11"/>
    <x v="6"/>
    <x v="7"/>
    <x v="5"/>
    <x v="2"/>
    <n v="300000000"/>
    <n v="390000"/>
    <s v="mt/yr"/>
    <n v="0.76"/>
    <n v="5720520"/>
    <n v="1.5672657534246577E-2"/>
    <n v="9149868"/>
    <n v="2.5068131506849313E-2"/>
  </r>
  <r>
    <s v="Dow Chemical"/>
    <s v="Freeport, TX"/>
    <x v="4"/>
    <x v="8"/>
    <x v="10"/>
    <x v="1"/>
    <x v="1"/>
    <n v="466200000"/>
    <n v="1050000"/>
    <s v="mt/yr"/>
    <n v="0.76"/>
    <n v="3830400"/>
    <n v="1.0494246575342465E-2"/>
    <n v="3830400"/>
    <n v="1.0494246575342465E-2"/>
  </r>
  <r>
    <s v="Dow Chemical"/>
    <s v="Plaquemine, LA"/>
    <x v="11"/>
    <x v="8"/>
    <x v="1"/>
    <x v="0"/>
    <x v="0"/>
    <n v="1060000000"/>
    <n v="249929.39587000001"/>
    <s v="mt/yr"/>
    <n v="0.76"/>
    <n v="911742.43613376003"/>
    <n v="2.4979244825582467E-3"/>
    <n v="911742.43613376003"/>
    <n v="2.4979244825582467E-3"/>
  </r>
  <r>
    <s v="Dow Chemical"/>
    <s v="Freeport, TX"/>
    <x v="4"/>
    <x v="10"/>
    <x v="3"/>
    <x v="0"/>
    <x v="0"/>
    <n v="700000000"/>
    <n v="750000"/>
    <s v="mt/yr"/>
    <n v="0.76"/>
    <n v="3770550"/>
    <n v="1.0330273972602741E-2"/>
    <n v="7541100"/>
    <n v="2.0660547945205481E-2"/>
  </r>
  <r>
    <s v="Dow Chemical "/>
    <s v="Freeport, TX"/>
    <x v="4"/>
    <x v="10"/>
    <x v="10"/>
    <x v="1"/>
    <x v="0"/>
    <n v="700000000"/>
    <n v="750000"/>
    <s v="mt/yr"/>
    <n v="0.76"/>
    <n v="3770550"/>
    <n v="1.0330273972602741E-2"/>
    <n v="7541100"/>
    <n v="2.0660547945205481E-2"/>
  </r>
  <r>
    <s v="Dow/Mitsui JV"/>
    <s v="Freeport, TX"/>
    <x v="4"/>
    <x v="17"/>
    <x v="6"/>
    <x v="0"/>
    <x v="0"/>
    <n v="411000000"/>
    <n v="800000"/>
    <s v="mt/yr"/>
    <n v="0.76"/>
    <n v="3648000"/>
    <n v="9.9945205479452064E-3"/>
    <n v="3648000"/>
    <n v="9.9945205479452064E-3"/>
  </r>
  <r>
    <s v="DuPont"/>
    <s v="Circleville, OH"/>
    <x v="1"/>
    <x v="9"/>
    <x v="7"/>
    <x v="5"/>
    <x v="1"/>
    <n v="175000000"/>
    <m/>
    <m/>
    <n v="0.76"/>
    <m/>
    <n v="0"/>
    <m/>
    <n v="0"/>
  </r>
  <r>
    <s v="Dyno Nobel"/>
    <s v="Waggaman, LA"/>
    <x v="11"/>
    <x v="4"/>
    <x v="1"/>
    <x v="0"/>
    <x v="0"/>
    <n v="850000000"/>
    <n v="800000"/>
    <s v=" mt/yr "/>
    <n v="0.76"/>
    <n v="18768960"/>
    <n v="5.1421808219178085E-2"/>
    <n v="29264000"/>
    <n v="8.0175342465753419E-2"/>
  </r>
  <r>
    <s v="Eastman Chemical"/>
    <s v="Kingsport, TN"/>
    <x v="9"/>
    <x v="9"/>
    <x v="4"/>
    <x v="1"/>
    <x v="1"/>
    <n v="1600000000"/>
    <m/>
    <m/>
    <n v="0.76"/>
    <m/>
    <m/>
    <m/>
    <m/>
  </r>
  <r>
    <s v="Eastman Chemical"/>
    <s v="Longview, TX"/>
    <x v="4"/>
    <x v="9"/>
    <x v="6"/>
    <x v="2"/>
    <x v="1"/>
    <n v="40000000"/>
    <n v="20000"/>
    <s v="mt/yr"/>
    <n v="0.76"/>
    <m/>
    <m/>
    <n v="617400"/>
    <n v="1.6915068493150683E-3"/>
  </r>
  <r>
    <s v="EmberClear"/>
    <s v="Berks, PA"/>
    <x v="15"/>
    <x v="13"/>
    <x v="8"/>
    <x v="7"/>
    <x v="0"/>
    <n v="1000000000"/>
    <n v="16000"/>
    <s v="bpd"/>
    <n v="0.76"/>
    <n v="45903708.160000004"/>
    <n v="0.12576358400000001"/>
    <n v="51941961.142857142"/>
    <n v="0.14230674285714287"/>
  </r>
  <r>
    <s v="EmberClear"/>
    <s v="Natchez, MS"/>
    <x v="18"/>
    <x v="13"/>
    <x v="4"/>
    <x v="4"/>
    <x v="0"/>
    <n v="2000000000.0000002"/>
    <n v="14000"/>
    <s v="bpd"/>
    <n v="0.76"/>
    <n v="40165744.639999993"/>
    <n v="0.11004313599999999"/>
    <n v="45449216"/>
    <n v="0.1245184"/>
  </r>
  <r>
    <s v="Enterprise Products"/>
    <s v="Mt. Belvieu, TX"/>
    <x v="4"/>
    <x v="10"/>
    <x v="0"/>
    <x v="0"/>
    <x v="1"/>
    <n v="317800000"/>
    <n v="227000"/>
    <s v="mt/yr"/>
    <n v="0.76"/>
    <n v="1141219.8"/>
    <n v="3.126629589041096E-3"/>
    <n v="2282439.6"/>
    <n v="6.2532591780821919E-3"/>
  </r>
  <r>
    <s v="Enterprise Products"/>
    <s v="Mt. Belvieu, TX"/>
    <x v="4"/>
    <x v="10"/>
    <x v="10"/>
    <x v="1"/>
    <x v="0"/>
    <n v="1050000000"/>
    <n v="750000"/>
    <s v="mt/yr"/>
    <n v="0.76"/>
    <n v="3770550"/>
    <n v="1.0330273972602741E-2"/>
    <n v="7541100"/>
    <n v="2.0660547945205481E-2"/>
  </r>
  <r>
    <s v="Enterprise Products (MB1 Train 6)"/>
    <s v="Mt. Belvieu, TX"/>
    <x v="4"/>
    <x v="12"/>
    <x v="7"/>
    <x v="5"/>
    <x v="0"/>
    <n v="150000000"/>
    <n v="85000"/>
    <s v="bpd"/>
    <n v="0.76"/>
    <m/>
    <n v="0"/>
    <m/>
    <n v="0"/>
  </r>
  <r>
    <s v="Enterprise Products (MB1 Train 7)"/>
    <s v="Mt. Belvieu, TX"/>
    <x v="4"/>
    <x v="12"/>
    <x v="0"/>
    <x v="0"/>
    <x v="0"/>
    <n v="150000000"/>
    <n v="85000"/>
    <s v="bpd"/>
    <n v="0.76"/>
    <m/>
    <n v="0"/>
    <m/>
    <n v="0"/>
  </r>
  <r>
    <s v="Enterprise Products (MB1 Train 8)"/>
    <s v="Mt. Belvieu, TX"/>
    <x v="4"/>
    <x v="12"/>
    <x v="0"/>
    <x v="0"/>
    <x v="0"/>
    <n v="150000000"/>
    <n v="85000"/>
    <s v="bpd"/>
    <n v="0.76"/>
    <m/>
    <n v="0"/>
    <m/>
    <n v="0"/>
  </r>
  <r>
    <s v="Enterprise Products (WTX 1)"/>
    <s v="Mt. Belvieu, TX"/>
    <x v="4"/>
    <x v="12"/>
    <x v="0"/>
    <x v="0"/>
    <x v="0"/>
    <n v="50000000"/>
    <n v="10000"/>
    <s v="bpd"/>
    <n v="0.76"/>
    <m/>
    <n v="0"/>
    <m/>
    <n v="0"/>
  </r>
  <r>
    <s v="ENVIA Energy (Velocys JV)"/>
    <s v="Oklahoma City, OK"/>
    <x v="19"/>
    <x v="13"/>
    <x v="1"/>
    <x v="0"/>
    <x v="0"/>
    <m/>
    <m/>
    <m/>
    <m/>
    <m/>
    <n v="0"/>
    <m/>
    <m/>
  </r>
  <r>
    <s v="Ergon Refining "/>
    <s v="Vicksburg, MS"/>
    <x v="18"/>
    <x v="16"/>
    <x v="3"/>
    <x v="1"/>
    <x v="1"/>
    <n v="147000000"/>
    <m/>
    <m/>
    <m/>
    <m/>
    <m/>
    <m/>
    <m/>
  </r>
  <r>
    <s v="Ergon Refining "/>
    <s v="Newell, WV"/>
    <x v="7"/>
    <x v="16"/>
    <x v="3"/>
    <x v="2"/>
    <x v="1"/>
    <n v="78000000"/>
    <n v="10000"/>
    <s v="bpd"/>
    <m/>
    <m/>
    <m/>
    <m/>
    <m/>
  </r>
  <r>
    <s v="Ergon Refining "/>
    <s v="Marietta, OH"/>
    <x v="1"/>
    <x v="16"/>
    <x v="6"/>
    <x v="1"/>
    <x v="1"/>
    <m/>
    <n v="10000"/>
    <s v="bpd"/>
    <m/>
    <m/>
    <m/>
    <m/>
    <m/>
  </r>
  <r>
    <s v="Ergon Refining "/>
    <m/>
    <x v="20"/>
    <x v="16"/>
    <x v="1"/>
    <x v="2"/>
    <x v="1"/>
    <m/>
    <m/>
    <m/>
    <m/>
    <m/>
    <m/>
    <m/>
    <m/>
  </r>
  <r>
    <s v="Essar Steel"/>
    <s v="Nashwauk, MN"/>
    <x v="21"/>
    <x v="18"/>
    <x v="0"/>
    <x v="0"/>
    <x v="0"/>
    <n v="1600000000"/>
    <n v="1412266.66666667"/>
    <s v="mt/yr"/>
    <n v="0.8"/>
    <n v="10648490.666666694"/>
    <n v="2.9173947031963545E-2"/>
    <n v="14687573.333333367"/>
    <n v="4.0239926940639367E-2"/>
  </r>
  <r>
    <s v="EuroChem"/>
    <s v="St. John the Baptist Parish, LA"/>
    <x v="11"/>
    <x v="4"/>
    <x v="4"/>
    <x v="3"/>
    <x v="0"/>
    <n v="1500000000"/>
    <n v="800000"/>
    <s v="mt/yr"/>
    <n v="0.76"/>
    <n v="18768960"/>
    <n v="5.1421808219178085E-2"/>
    <n v="29264000"/>
    <n v="8.0175342465753419E-2"/>
  </r>
  <r>
    <s v="Evonik Industries"/>
    <s v=" Mobile, AL"/>
    <x v="6"/>
    <x v="9"/>
    <x v="3"/>
    <x v="2"/>
    <x v="0"/>
    <n v="84300000"/>
    <n v="120000"/>
    <s v="mt/yr"/>
    <n v="0.76"/>
    <m/>
    <m/>
    <m/>
    <m/>
  </r>
  <r>
    <s v="ExxonMobil"/>
    <s v="Baytown, TX"/>
    <x v="4"/>
    <x v="6"/>
    <x v="10"/>
    <x v="1"/>
    <x v="0"/>
    <n v="5125000000"/>
    <n v="1500000"/>
    <s v="mt/yr"/>
    <n v="0.76"/>
    <n v="22002000"/>
    <n v="6.027945205479452E-2"/>
    <n v="35191800"/>
    <n v="9.641589041095891E-2"/>
  </r>
  <r>
    <s v="ExxonMobil"/>
    <s v="Baton Rouge, LA"/>
    <x v="11"/>
    <x v="9"/>
    <x v="6"/>
    <x v="1"/>
    <x v="1"/>
    <n v="215000000"/>
    <m/>
    <m/>
    <n v="0.76"/>
    <m/>
    <m/>
    <m/>
    <m/>
  </r>
  <r>
    <s v="ExxonMobil"/>
    <s v="Mt. Belvieu, TX"/>
    <x v="4"/>
    <x v="8"/>
    <x v="1"/>
    <x v="1"/>
    <x v="0"/>
    <n v="288600000"/>
    <n v="650000"/>
    <s v="mt/yr"/>
    <n v="0.76"/>
    <n v="2371200"/>
    <n v="6.4964383561643838E-3"/>
    <n v="2371200"/>
    <n v="6.4964383561643838E-3"/>
  </r>
  <r>
    <s v="ExxonMobil"/>
    <s v="Beaumont, TX"/>
    <x v="4"/>
    <x v="8"/>
    <x v="10"/>
    <x v="1"/>
    <x v="1"/>
    <n v="1200000000"/>
    <n v="650000"/>
    <s v="mt/yr"/>
    <n v="0.76"/>
    <n v="2371200"/>
    <n v="6.4964383561643838E-3"/>
    <n v="2371200"/>
    <n v="6.4964383561643838E-3"/>
  </r>
  <r>
    <s v="ExxonMobile/Sabic"/>
    <s v="Corpus Christi, TX"/>
    <x v="4"/>
    <x v="6"/>
    <x v="8"/>
    <x v="2"/>
    <x v="0"/>
    <n v="6000000000"/>
    <n v="1800000"/>
    <s v="mt/yr"/>
    <n v="0.76"/>
    <n v="26402400"/>
    <n v="7.2335342465753419E-2"/>
    <n v="42230160"/>
    <n v="0.1156990684931507"/>
  </r>
  <r>
    <s v="Flint Hills Resources (Acquisition of Petrologistics)"/>
    <s v="Houston (Ship Channel), TX"/>
    <x v="4"/>
    <x v="10"/>
    <x v="9"/>
    <x v="6"/>
    <x v="1"/>
    <n v="600000000"/>
    <n v="500000"/>
    <s v="mt/yr"/>
    <n v="0.76"/>
    <n v="2513700"/>
    <n v="6.8868493150684917E-3"/>
    <n v="5027400"/>
    <n v="1.3773698630136983E-2"/>
  </r>
  <r>
    <s v="Flow Polymer LLC"/>
    <s v="Cleveland, OH"/>
    <x v="1"/>
    <x v="19"/>
    <x v="0"/>
    <x v="0"/>
    <x v="1"/>
    <m/>
    <n v="22680"/>
    <s v="mt/yr"/>
    <n v="0.88"/>
    <m/>
    <n v="0"/>
    <m/>
    <n v="0"/>
  </r>
  <r>
    <s v="Formosa Plastics"/>
    <s v="Point Comfort, TX"/>
    <x v="4"/>
    <x v="6"/>
    <x v="5"/>
    <x v="1"/>
    <x v="0"/>
    <n v="1900000000"/>
    <n v="1590000"/>
    <s v="mt/yr"/>
    <n v="0.76"/>
    <n v="23322120"/>
    <n v="6.3896219178082192E-2"/>
    <n v="37303308"/>
    <n v="0.10220084383561642"/>
  </r>
  <r>
    <s v="Formosa Plastics"/>
    <s v="St. James Parish, LA"/>
    <x v="11"/>
    <x v="6"/>
    <x v="11"/>
    <x v="4"/>
    <x v="0"/>
    <n v="9400000000"/>
    <n v="3000000"/>
    <s v="mt/yr"/>
    <n v="0.76"/>
    <n v="44004000"/>
    <n v="0.12055890410958904"/>
    <n v="70383600"/>
    <n v="0.19283178082191782"/>
  </r>
  <r>
    <s v="Formosa Plastics"/>
    <s v="Point Comfort, TX"/>
    <x v="4"/>
    <x v="17"/>
    <x v="7"/>
    <x v="5"/>
    <x v="1"/>
    <n v="1000000000"/>
    <n v="1930000"/>
    <s v="(d)mt/yr"/>
    <n v="0.76"/>
    <n v="8800800"/>
    <n v="2.4111780821917804E-2"/>
    <n v="8800800"/>
    <n v="2.4111780821917804E-2"/>
  </r>
  <r>
    <s v="Formosa Plastics"/>
    <s v="Point Comfort, TX"/>
    <x v="4"/>
    <x v="12"/>
    <x v="0"/>
    <x v="0"/>
    <x v="0"/>
    <n v="150000000"/>
    <n v="75000"/>
    <s v="bpd"/>
    <n v="0.76"/>
    <m/>
    <n v="0"/>
    <m/>
    <n v="0"/>
  </r>
  <r>
    <s v="Formosa Plastics"/>
    <s v="Point Comfort, TX"/>
    <x v="4"/>
    <x v="8"/>
    <x v="1"/>
    <x v="1"/>
    <x v="0"/>
    <n v="251748000"/>
    <n v="567000"/>
    <s v="mt/yr"/>
    <n v="0.76"/>
    <n v="2068416"/>
    <n v="5.6668931506849317E-3"/>
    <n v="2068416"/>
    <n v="5.6668931506849317E-3"/>
  </r>
  <r>
    <s v="Formosa Plastics"/>
    <s v="Point Comfort, TX"/>
    <x v="4"/>
    <x v="8"/>
    <x v="10"/>
    <x v="4"/>
    <x v="0"/>
    <n v="233100000"/>
    <n v="525000"/>
    <s v="mt/yr"/>
    <n v="0.76"/>
    <n v="1915200"/>
    <n v="5.2471232876712326E-3"/>
    <n v="1915200"/>
    <n v="5.2471232876712326E-3"/>
  </r>
  <r>
    <s v="Formosa Plastics"/>
    <s v="Point Comfort, TX"/>
    <x v="4"/>
    <x v="10"/>
    <x v="1"/>
    <x v="2"/>
    <x v="1"/>
    <n v="700000000"/>
    <n v="658000"/>
    <s v="mt/yr"/>
    <n v="0.76"/>
    <n v="3308029.2"/>
    <n v="9.0630936986301376E-3"/>
    <n v="6616058.4000000004"/>
    <n v="1.8126187397260275E-2"/>
  </r>
  <r>
    <s v="G2X"/>
    <s v="Pampa, TX"/>
    <x v="4"/>
    <x v="15"/>
    <x v="3"/>
    <x v="0"/>
    <x v="0"/>
    <n v="155000000"/>
    <n v="65000"/>
    <s v="mt/yr"/>
    <n v="0.76"/>
    <n v="1579219.2"/>
    <n v="4.3266279452054794E-3"/>
    <n v="1612119.6"/>
    <n v="4.4167660273972606E-3"/>
  </r>
  <r>
    <s v="G2X"/>
    <s v="Lake Charles, LA"/>
    <x v="11"/>
    <x v="15"/>
    <x v="4"/>
    <x v="1"/>
    <x v="0"/>
    <n v="1600000000"/>
    <n v="1400000"/>
    <s v="mt/yr"/>
    <n v="0.76"/>
    <n v="34013952"/>
    <n v="9.318890958904108E-2"/>
    <n v="34722576"/>
    <n v="9.5130345205479458E-2"/>
  </r>
  <r>
    <s v="G2X"/>
    <s v="Lake Charles, LA"/>
    <x v="11"/>
    <x v="20"/>
    <x v="10"/>
    <x v="1"/>
    <x v="0"/>
    <n v="1400000000"/>
    <n v="12500"/>
    <s v="bpd"/>
    <n v="0.76"/>
    <n v="35862272"/>
    <n v="9.8252799999999987E-2"/>
    <n v="40579657.142857142"/>
    <n v="0.11117714285714286"/>
  </r>
  <r>
    <s v="Gerdau"/>
    <s v="St. Paul, MN"/>
    <x v="21"/>
    <x v="21"/>
    <x v="3"/>
    <x v="0"/>
    <x v="1"/>
    <n v="60000000"/>
    <n v="90718"/>
    <s v="mt/yr"/>
    <n v="0.8"/>
    <n v="684013.72000000009"/>
    <n v="1.8740101917808221E-3"/>
    <n v="943467.20000000007"/>
    <n v="2.5848416438356168E-3"/>
  </r>
  <r>
    <s v="GI Plastek Wolfeboro LLC"/>
    <s v="Wolfeboro, NH"/>
    <x v="22"/>
    <x v="19"/>
    <x v="6"/>
    <x v="1"/>
    <x v="1"/>
    <n v="3000000"/>
    <m/>
    <m/>
    <n v="0.88"/>
    <m/>
    <m/>
    <m/>
    <m/>
  </r>
  <r>
    <s v="Grannus LLC"/>
    <s v="Kern County, CA"/>
    <x v="23"/>
    <x v="4"/>
    <x v="4"/>
    <x v="4"/>
    <x v="0"/>
    <n v="170000000"/>
    <n v="80000"/>
    <s v="mt/yr"/>
    <n v="0.76"/>
    <n v="1876896"/>
    <n v="5.1421808219178078E-3"/>
    <n v="2926400"/>
    <n v="8.0175342465753432E-3"/>
  </r>
  <r>
    <s v="Greyrock Energy/Nerd Gas "/>
    <s v="Houston, TX"/>
    <x v="4"/>
    <x v="13"/>
    <x v="3"/>
    <x v="6"/>
    <x v="0"/>
    <m/>
    <m/>
    <m/>
    <m/>
    <m/>
    <n v="0"/>
    <m/>
    <m/>
  </r>
  <r>
    <s v="Gulf Coast Ammonia (Borealis &amp; Agrifos)"/>
    <s v="Gulf Coast, TX"/>
    <x v="4"/>
    <x v="4"/>
    <x v="4"/>
    <x v="6"/>
    <x v="0"/>
    <m/>
    <m/>
    <m/>
    <m/>
    <m/>
    <n v="0"/>
    <m/>
    <m/>
  </r>
  <r>
    <s v="Gulf Coast Fractionators"/>
    <s v="Mt. Belvieu, TX"/>
    <x v="4"/>
    <x v="12"/>
    <x v="7"/>
    <x v="5"/>
    <x v="1"/>
    <n v="75000000"/>
    <n v="43000"/>
    <s v="bpd"/>
    <n v="0.76"/>
    <m/>
    <n v="0"/>
    <m/>
    <n v="0"/>
  </r>
  <r>
    <s v="HF Chlor-Alkali"/>
    <s v="Eddyville, IA"/>
    <x v="8"/>
    <x v="17"/>
    <x v="3"/>
    <x v="3"/>
    <x v="0"/>
    <n v="131500000"/>
    <n v="317514"/>
    <s v="(d)mt/yr"/>
    <n v="0.76"/>
    <n v="1447863.84"/>
    <n v="3.9667502465753424E-3"/>
    <n v="1447863.84"/>
    <n v="3.9667502465753424E-3"/>
  </r>
  <r>
    <s v="Honda"/>
    <s v="Anna, OH"/>
    <x v="1"/>
    <x v="2"/>
    <x v="6"/>
    <x v="1"/>
    <x v="1"/>
    <n v="180000000"/>
    <m/>
    <m/>
    <m/>
    <m/>
    <m/>
    <m/>
    <m/>
  </r>
  <r>
    <s v="Honda"/>
    <s v="Anna, OH"/>
    <x v="1"/>
    <x v="2"/>
    <x v="7"/>
    <x v="5"/>
    <x v="1"/>
    <n v="98000000"/>
    <m/>
    <m/>
    <m/>
    <m/>
    <n v="0"/>
    <m/>
    <n v="0"/>
  </r>
  <r>
    <s v="Honeywell Specialty Materials"/>
    <s v="Mobile, AL"/>
    <x v="6"/>
    <x v="9"/>
    <x v="7"/>
    <x v="5"/>
    <x v="1"/>
    <n v="20000000"/>
    <m/>
    <m/>
    <n v="0.76"/>
    <m/>
    <n v="0"/>
    <m/>
    <n v="0"/>
  </r>
  <r>
    <s v="Huntington Foam"/>
    <s v="Greenville, MI"/>
    <x v="24"/>
    <x v="19"/>
    <x v="7"/>
    <x v="5"/>
    <x v="1"/>
    <n v="2560000"/>
    <m/>
    <m/>
    <n v="0.88"/>
    <m/>
    <n v="0"/>
    <m/>
    <n v="0"/>
  </r>
  <r>
    <s v="Huntsman Chemical"/>
    <s v="Port Neches, TX"/>
    <x v="4"/>
    <x v="9"/>
    <x v="3"/>
    <x v="2"/>
    <x v="1"/>
    <n v="125000000"/>
    <n v="120000"/>
    <s v="mt/yr"/>
    <n v="0.76"/>
    <m/>
    <m/>
    <m/>
    <m/>
  </r>
  <r>
    <s v="Huntsman Chemical"/>
    <s v="Geismar, LA"/>
    <x v="11"/>
    <x v="9"/>
    <x v="6"/>
    <x v="1"/>
    <x v="1"/>
    <n v="78000000"/>
    <n v="50000"/>
    <s v="mt/yr"/>
    <n v="0.76"/>
    <m/>
    <m/>
    <m/>
    <m/>
  </r>
  <r>
    <s v="Huntsman Chemical"/>
    <s v="MacIntosh, AL"/>
    <x v="6"/>
    <x v="9"/>
    <x v="6"/>
    <x v="1"/>
    <x v="1"/>
    <n v="40000000"/>
    <n v="4500"/>
    <s v="mt/yr"/>
    <n v="0.76"/>
    <m/>
    <m/>
    <m/>
    <m/>
  </r>
  <r>
    <s v="ICL Industrial Product"/>
    <s v="Gallipolis Ferry, WV"/>
    <x v="7"/>
    <x v="9"/>
    <x v="2"/>
    <x v="6"/>
    <x v="1"/>
    <m/>
    <m/>
    <m/>
    <n v="0.76"/>
    <m/>
    <m/>
    <m/>
    <n v="0"/>
  </r>
  <r>
    <s v="Idemistu/Mitsui JV"/>
    <s v="Freeport, TX"/>
    <x v="4"/>
    <x v="9"/>
    <x v="1"/>
    <x v="7"/>
    <x v="0"/>
    <n v="350000000"/>
    <n v="330000"/>
    <s v="mt/yr"/>
    <n v="0.76"/>
    <m/>
    <n v="0"/>
    <m/>
    <n v="0"/>
  </r>
  <r>
    <s v="Incitec Pivot (Acquisition of Dyno Nobel)"/>
    <s v="Waggaman, LA"/>
    <x v="11"/>
    <x v="4"/>
    <x v="10"/>
    <x v="0"/>
    <x v="0"/>
    <n v="850000000"/>
    <n v="800000"/>
    <s v="mt/yr"/>
    <n v="0.76"/>
    <n v="18768960"/>
    <n v="5.1421808219178085E-2"/>
    <n v="29264000"/>
    <n v="8.0175342465753419E-2"/>
  </r>
  <r>
    <s v="Indorama Ventures"/>
    <s v="Lake Charles, LA"/>
    <x v="11"/>
    <x v="6"/>
    <x v="5"/>
    <x v="4"/>
    <x v="2"/>
    <n v="3900000000"/>
    <n v="1300000"/>
    <s v="mt/yr"/>
    <n v="0.76"/>
    <n v="19068400"/>
    <n v="5.2242191780821921E-2"/>
    <n v="30499560"/>
    <n v="8.356043835616439E-2"/>
  </r>
  <r>
    <s v="Indorama Ventures"/>
    <s v="Decatur, AL"/>
    <x v="6"/>
    <x v="9"/>
    <x v="3"/>
    <x v="2"/>
    <x v="1"/>
    <n v="190000000"/>
    <n v="500000"/>
    <s v="mt/yr"/>
    <n v="0.76"/>
    <m/>
    <m/>
    <m/>
    <m/>
  </r>
  <r>
    <s v="INEOS"/>
    <s v="Alvin, TX"/>
    <x v="4"/>
    <x v="6"/>
    <x v="0"/>
    <x v="0"/>
    <x v="1"/>
    <n v="150000000"/>
    <n v="115000"/>
    <s v="mt/yr"/>
    <n v="0.76"/>
    <n v="1686820"/>
    <n v="4.6214246575342465E-3"/>
    <n v="2698038"/>
    <n v="7.3918849315068496E-3"/>
  </r>
  <r>
    <s v="INEOS"/>
    <m/>
    <x v="4"/>
    <x v="9"/>
    <x v="4"/>
    <x v="2"/>
    <x v="0"/>
    <n v="85000000"/>
    <n v="120000"/>
    <s v="mt/yr"/>
    <m/>
    <m/>
    <m/>
    <m/>
    <m/>
  </r>
  <r>
    <s v="INEOS"/>
    <s v="La Porte, TX"/>
    <x v="4"/>
    <x v="9"/>
    <x v="10"/>
    <x v="6"/>
    <x v="1"/>
    <n v="30000000"/>
    <n v="20000"/>
    <s v="mt/yr"/>
    <m/>
    <m/>
    <m/>
    <m/>
    <m/>
  </r>
  <r>
    <s v="INEOS"/>
    <s v="Chocolate Bayou, TX"/>
    <x v="4"/>
    <x v="9"/>
    <x v="5"/>
    <x v="1"/>
    <x v="0"/>
    <n v="450000000"/>
    <n v="420000"/>
    <s v="mt/yr"/>
    <m/>
    <m/>
    <m/>
    <m/>
    <m/>
  </r>
  <r>
    <s v="Ingleside Ethylene LLC"/>
    <s v="Ingleside, TX"/>
    <x v="4"/>
    <x v="6"/>
    <x v="5"/>
    <x v="1"/>
    <x v="0"/>
    <n v="1000000000"/>
    <n v="544310.84400000004"/>
    <s v="mt/yr"/>
    <n v="0.76"/>
    <n v="7983951.4597920002"/>
    <n v="2.1873839615868494E-2"/>
    <n v="12770185.573252801"/>
    <n v="3.4986809789733696E-2"/>
  </r>
  <r>
    <s v="Investimus Foris"/>
    <s v="Grant Parish, LA"/>
    <x v="11"/>
    <x v="4"/>
    <x v="5"/>
    <x v="4"/>
    <x v="0"/>
    <n v="265000000"/>
    <n v="500000"/>
    <s v="mt/yr"/>
    <n v="0.76"/>
    <n v="11730600"/>
    <n v="3.2138630136986306E-2"/>
    <n v="18290000"/>
    <n v="5.0109589041095887E-2"/>
  </r>
  <r>
    <s v="Invista"/>
    <s v="Orange, TX"/>
    <x v="4"/>
    <x v="9"/>
    <x v="6"/>
    <x v="1"/>
    <x v="0"/>
    <n v="100000000"/>
    <m/>
    <m/>
    <n v="0.76"/>
    <m/>
    <m/>
    <m/>
    <m/>
  </r>
  <r>
    <s v="Invista"/>
    <s v="Victoria, TX"/>
    <x v="4"/>
    <x v="4"/>
    <x v="10"/>
    <x v="2"/>
    <x v="0"/>
    <n v="500000000"/>
    <n v="400000"/>
    <s v="mt/yr"/>
    <n v="0.76"/>
    <n v="9384480"/>
    <n v="2.5710904109589042E-2"/>
    <n v="14632000"/>
    <n v="4.0087671232876709E-2"/>
  </r>
  <r>
    <s v="Iowa Fertilizer Co"/>
    <s v="Wever, IA"/>
    <x v="8"/>
    <x v="4"/>
    <x v="1"/>
    <x v="0"/>
    <x v="0"/>
    <n v="2000000000"/>
    <n v="1360777.11"/>
    <s v="mt/yr"/>
    <n v="0.76"/>
    <n v="31925463.933132"/>
    <n v="8.7467024474334243E-2"/>
    <n v="49777226.683800004"/>
    <n v="0.13637596351726031"/>
  </r>
  <r>
    <s v="Ironwood Plastics Inc"/>
    <s v="Two Rivers, WS"/>
    <x v="25"/>
    <x v="19"/>
    <x v="2"/>
    <x v="2"/>
    <x v="1"/>
    <n v="19000000"/>
    <m/>
    <m/>
    <n v="0.88"/>
    <m/>
    <m/>
    <m/>
    <n v="0"/>
  </r>
  <r>
    <s v="Kaneka"/>
    <s v="Pasadena, TX"/>
    <x v="4"/>
    <x v="9"/>
    <x v="3"/>
    <x v="1"/>
    <x v="1"/>
    <n v="50000000"/>
    <n v="20000"/>
    <s v="mt/yr"/>
    <n v="0.76"/>
    <m/>
    <m/>
    <m/>
    <m/>
  </r>
  <r>
    <s v="Katoen Natie USA"/>
    <s v="Baton Rouge, LA"/>
    <x v="11"/>
    <x v="19"/>
    <x v="6"/>
    <x v="1"/>
    <x v="0"/>
    <n v="150000000"/>
    <m/>
    <m/>
    <n v="0.88"/>
    <m/>
    <m/>
    <m/>
    <m/>
  </r>
  <r>
    <s v="Kinder Morgan "/>
    <s v="Houston (Ship Channel), TX"/>
    <x v="4"/>
    <x v="16"/>
    <x v="6"/>
    <x v="1"/>
    <x v="0"/>
    <n v="180000000"/>
    <n v="50000"/>
    <s v="bbl/sd"/>
    <m/>
    <m/>
    <m/>
    <m/>
    <m/>
  </r>
  <r>
    <s v="Kinder Morgan "/>
    <s v="Houston (Ship Channel), TX"/>
    <x v="4"/>
    <x v="16"/>
    <x v="3"/>
    <x v="1"/>
    <x v="0"/>
    <n v="180000000"/>
    <n v="50000"/>
    <s v="bbl/sd"/>
    <m/>
    <m/>
    <m/>
    <m/>
    <m/>
  </r>
  <r>
    <s v="Koch Nitrogen"/>
    <s v="Dodge City, KS"/>
    <x v="26"/>
    <x v="4"/>
    <x v="2"/>
    <x v="6"/>
    <x v="1"/>
    <n v="650000000"/>
    <n v="50000"/>
    <s v="mt/yr"/>
    <n v="0.76"/>
    <n v="1173060"/>
    <n v="3.2138630136986303E-3"/>
    <n v="1829000"/>
    <n v="5.0109589041095887E-3"/>
  </r>
  <r>
    <s v="Koch Nitrogen"/>
    <s v="Beatrice, NE"/>
    <x v="27"/>
    <x v="4"/>
    <x v="1"/>
    <x v="0"/>
    <x v="1"/>
    <n v="650000000"/>
    <n v="50000"/>
    <s v="mt/yr"/>
    <n v="0.76"/>
    <n v="1173060"/>
    <n v="3.2138630136986303E-3"/>
    <n v="1829000"/>
    <n v="5.0109589041095887E-3"/>
  </r>
  <r>
    <s v="Koch Nitrogen"/>
    <s v="Enid, OK"/>
    <x v="19"/>
    <x v="4"/>
    <x v="10"/>
    <x v="1"/>
    <x v="0"/>
    <n v="1300000000"/>
    <n v="100000"/>
    <s v="mt/yr"/>
    <n v="0.76"/>
    <n v="2346120"/>
    <n v="6.4277260273972606E-3"/>
    <n v="3658000"/>
    <n v="1.0021917808219177E-2"/>
  </r>
  <r>
    <s v="Kuraray Americas"/>
    <s v="Pasadena, TX"/>
    <x v="4"/>
    <x v="9"/>
    <x v="6"/>
    <x v="1"/>
    <x v="1"/>
    <n v="40000000"/>
    <n v="12000"/>
    <s v="mt/yr"/>
    <n v="0.76"/>
    <m/>
    <m/>
    <m/>
    <m/>
  </r>
  <r>
    <s v="Kuraray Americas"/>
    <s v="La Porte, TX"/>
    <x v="4"/>
    <x v="9"/>
    <x v="3"/>
    <x v="1"/>
    <x v="0"/>
    <n v="70000000"/>
    <n v="40000"/>
    <s v="mt/yr"/>
    <n v="0.76"/>
    <m/>
    <m/>
    <m/>
    <m/>
  </r>
  <r>
    <s v="Kyowa America"/>
    <s v="Portland, TN"/>
    <x v="9"/>
    <x v="19"/>
    <x v="7"/>
    <x v="5"/>
    <x v="0"/>
    <n v="12000000"/>
    <m/>
    <m/>
    <n v="0.88"/>
    <m/>
    <n v="0"/>
    <m/>
    <n v="0"/>
  </r>
  <r>
    <s v="LANXNESS"/>
    <s v="Orange, TX"/>
    <x v="4"/>
    <x v="9"/>
    <x v="2"/>
    <x v="6"/>
    <x v="0"/>
    <n v="14400000"/>
    <m/>
    <m/>
    <n v="0.76"/>
    <m/>
    <m/>
    <m/>
    <n v="0"/>
  </r>
  <r>
    <s v="LANXNESS"/>
    <s v="Gastonia, NC"/>
    <x v="17"/>
    <x v="19"/>
    <x v="7"/>
    <x v="5"/>
    <x v="0"/>
    <n v="20000000"/>
    <n v="20000"/>
    <s v="mt/yr"/>
    <n v="0.88"/>
    <m/>
    <n v="0"/>
    <m/>
    <n v="0"/>
  </r>
  <r>
    <s v="Leucadia Energy"/>
    <s v="Lake Charles, LA"/>
    <x v="11"/>
    <x v="9"/>
    <x v="10"/>
    <x v="1"/>
    <x v="0"/>
    <n v="2500000000"/>
    <n v="1000000"/>
    <s v="mt/yr"/>
    <n v="0.76"/>
    <m/>
    <m/>
    <m/>
    <m/>
  </r>
  <r>
    <s v="Lone Star NGL"/>
    <s v="Mt. Belvieu, TX"/>
    <x v="4"/>
    <x v="12"/>
    <x v="0"/>
    <x v="0"/>
    <x v="1"/>
    <n v="362500000"/>
    <n v="100000"/>
    <s v="bpd"/>
    <n v="0.76"/>
    <m/>
    <n v="0"/>
    <m/>
    <n v="0"/>
  </r>
  <r>
    <s v="Lonestar NGL (MB2)"/>
    <s v="Mt. Belvieu, TX"/>
    <x v="4"/>
    <x v="12"/>
    <x v="0"/>
    <x v="0"/>
    <x v="1"/>
    <n v="350000000"/>
    <n v="100000"/>
    <s v="bpd"/>
    <n v="0.76"/>
    <m/>
    <n v="0"/>
    <m/>
    <n v="0"/>
  </r>
  <r>
    <s v="Lotte Chemical"/>
    <m/>
    <x v="11"/>
    <x v="9"/>
    <x v="5"/>
    <x v="8"/>
    <x v="0"/>
    <m/>
    <m/>
    <m/>
    <n v="0.76"/>
    <m/>
    <m/>
    <m/>
    <m/>
  </r>
  <r>
    <s v="Lotte Chemical"/>
    <s v="Baytown, TX"/>
    <x v="4"/>
    <x v="9"/>
    <x v="4"/>
    <x v="8"/>
    <x v="0"/>
    <m/>
    <m/>
    <m/>
    <m/>
    <m/>
    <n v="0"/>
    <m/>
    <m/>
  </r>
  <r>
    <s v="LSB Industries (El Dorado Chemical)"/>
    <s v="El Dorado, AR"/>
    <x v="28"/>
    <x v="4"/>
    <x v="1"/>
    <x v="0"/>
    <x v="0"/>
    <n v="300000000"/>
    <n v="381590"/>
    <s v="mt/yr"/>
    <n v="0.76"/>
    <n v="8952559.3080000002"/>
    <n v="2.4527559747945203E-2"/>
    <n v="13958562.199999999"/>
    <n v="3.8242636164383559E-2"/>
  </r>
  <r>
    <s v="LSB Industries (Pryor Chemical Company)"/>
    <s v="Pryor, OK"/>
    <x v="19"/>
    <x v="4"/>
    <x v="3"/>
    <x v="3"/>
    <x v="1"/>
    <n v="43000000"/>
    <n v="54545"/>
    <s v="mt/yr"/>
    <n v="0.76"/>
    <n v="1279691.1540000001"/>
    <n v="3.5060031616438356E-3"/>
    <n v="1995256.0999999999"/>
    <n v="5.4664550684931498E-3"/>
  </r>
  <r>
    <s v="Lubrizol"/>
    <s v="Deer Park, TX"/>
    <x v="4"/>
    <x v="9"/>
    <x v="6"/>
    <x v="1"/>
    <x v="0"/>
    <n v="125000000"/>
    <m/>
    <m/>
    <n v="0.76"/>
    <m/>
    <m/>
    <m/>
    <m/>
  </r>
  <r>
    <s v="Lubrizol"/>
    <s v="Calvert City, KY"/>
    <x v="29"/>
    <x v="9"/>
    <x v="2"/>
    <x v="6"/>
    <x v="1"/>
    <n v="108000000"/>
    <m/>
    <m/>
    <n v="0.76"/>
    <m/>
    <m/>
    <m/>
    <n v="0"/>
  </r>
  <r>
    <s v="Lubrizol"/>
    <s v="Calvert City, KY"/>
    <x v="29"/>
    <x v="9"/>
    <x v="7"/>
    <x v="5"/>
    <x v="1"/>
    <n v="40000000"/>
    <m/>
    <m/>
    <n v="0.76"/>
    <m/>
    <n v="0"/>
    <m/>
    <n v="0"/>
  </r>
  <r>
    <s v="LyondellBasell"/>
    <s v="La Porte, TX"/>
    <x v="4"/>
    <x v="6"/>
    <x v="6"/>
    <x v="0"/>
    <x v="1"/>
    <n v="510000000"/>
    <n v="362873.89600000001"/>
    <s v="mt/yr"/>
    <n v="0.76"/>
    <n v="5322634.3065280002"/>
    <n v="1.4582559743912329E-2"/>
    <n v="8513457.0488351993"/>
    <n v="2.3324539859822465E-2"/>
  </r>
  <r>
    <s v="LyondellBasell"/>
    <s v="Channelview, TX"/>
    <x v="4"/>
    <x v="6"/>
    <x v="3"/>
    <x v="0"/>
    <x v="1"/>
    <n v="200000000"/>
    <n v="113398.0925"/>
    <s v="mt/yr"/>
    <n v="0.76"/>
    <n v="1663323.2207900002"/>
    <n v="4.557049919972603E-3"/>
    <n v="2660455.327761"/>
    <n v="7.2889187061945205E-3"/>
  </r>
  <r>
    <s v="LyondellBasell"/>
    <s v="Corpus Christi, TX"/>
    <x v="4"/>
    <x v="6"/>
    <x v="1"/>
    <x v="0"/>
    <x v="1"/>
    <n v="600000000"/>
    <n v="377993.64151500002"/>
    <s v="mt/yr"/>
    <n v="0.76"/>
    <n v="5544410.733742021"/>
    <n v="1.5190166393813756E-2"/>
    <n v="8868184.4223117176"/>
    <n v="2.4296395677566349E-2"/>
  </r>
  <r>
    <s v="LyondellBasell"/>
    <s v="Channelview, TX"/>
    <x v="4"/>
    <x v="15"/>
    <x v="0"/>
    <x v="0"/>
    <x v="2"/>
    <n v="180000000"/>
    <n v="780000"/>
    <s v="mt/yr"/>
    <n v="0.76"/>
    <n v="18950630.399999999"/>
    <n v="5.1919535342465746E-2"/>
    <n v="19345435.199999999"/>
    <n v="5.3001192328767127E-2"/>
  </r>
  <r>
    <s v="LyondellBasell"/>
    <s v="Corpus Christi, TX"/>
    <x v="4"/>
    <x v="12"/>
    <x v="0"/>
    <x v="0"/>
    <x v="1"/>
    <m/>
    <n v="63000"/>
    <s v="bpd"/>
    <n v="0.76"/>
    <m/>
    <n v="0"/>
    <m/>
    <n v="0"/>
  </r>
  <r>
    <s v="LyondellBasell"/>
    <s v="Matagorda County, TX"/>
    <x v="4"/>
    <x v="8"/>
    <x v="6"/>
    <x v="0"/>
    <x v="1"/>
    <n v="20000000"/>
    <n v="100000"/>
    <s v="mt/yr"/>
    <n v="0.76"/>
    <n v="364800"/>
    <n v="9.9945205479452055E-4"/>
    <n v="364800"/>
    <n v="9.9945205479452055E-4"/>
  </r>
  <r>
    <s v="LyondellBasell"/>
    <s v="La Porte, TX"/>
    <x v="4"/>
    <x v="8"/>
    <x v="4"/>
    <x v="8"/>
    <x v="0"/>
    <n v="222000000"/>
    <n v="500000"/>
    <s v="mt/yr"/>
    <n v="0.76"/>
    <n v="1824000"/>
    <n v="4.9972602739726032E-3"/>
    <n v="1824000"/>
    <n v="4.9972602739726032E-3"/>
  </r>
  <r>
    <s v="LyondellBasell"/>
    <m/>
    <x v="4"/>
    <x v="10"/>
    <x v="6"/>
    <x v="7"/>
    <x v="1"/>
    <n v="125000000"/>
    <n v="227000"/>
    <s v="mt/yr"/>
    <n v="0.76"/>
    <n v="1141219.8"/>
    <n v="3.126629589041096E-3"/>
    <n v="2282439.6"/>
    <n v="6.2532591780821919E-3"/>
  </r>
  <r>
    <s v="M&amp;G Group (Grupo Mossi &amp; Ghisolfi)"/>
    <s v="Corpus Christi, TX"/>
    <x v="4"/>
    <x v="19"/>
    <x v="1"/>
    <x v="2"/>
    <x v="0"/>
    <n v="450000000"/>
    <n v="1000000"/>
    <s v="mt/yr"/>
    <n v="0.88"/>
    <m/>
    <m/>
    <m/>
    <m/>
  </r>
  <r>
    <s v="M&amp;G Group (Grupo Mossi &amp; Ghisolfi)"/>
    <s v="Corpus Christi, TX"/>
    <x v="4"/>
    <x v="19"/>
    <x v="1"/>
    <x v="2"/>
    <x v="0"/>
    <n v="450000000"/>
    <n v="1200000"/>
    <s v="mt/yr"/>
    <n v="0.88"/>
    <m/>
    <m/>
    <m/>
    <m/>
  </r>
  <r>
    <s v="Magnolia Nitrogen Idaho"/>
    <s v="American Falls, ID"/>
    <x v="30"/>
    <x v="4"/>
    <x v="10"/>
    <x v="4"/>
    <x v="0"/>
    <n v="2000000000"/>
    <n v="829000"/>
    <s v="mt/yr"/>
    <n v="0.76"/>
    <n v="19449334.800000001"/>
    <n v="5.3285848767123285E-2"/>
    <n v="30324820"/>
    <n v="8.308169863013698E-2"/>
  </r>
  <r>
    <s v="Marcellus GTL"/>
    <s v="Blair, PA"/>
    <x v="15"/>
    <x v="20"/>
    <x v="3"/>
    <x v="7"/>
    <x v="0"/>
    <n v="200000000"/>
    <n v="2000"/>
    <s v="bpd"/>
    <n v="0.76"/>
    <n v="5737963.5200000005"/>
    <n v="1.5720448000000001E-2"/>
    <n v="6492745.1428571427"/>
    <n v="1.7788342857142859E-2"/>
  </r>
  <r>
    <s v="MarkWest Liberty Midstream"/>
    <s v="Marshall, WV"/>
    <x v="7"/>
    <x v="12"/>
    <x v="0"/>
    <x v="0"/>
    <x v="0"/>
    <n v="190000000"/>
    <n v="36400"/>
    <s v="bpd"/>
    <n v="0.76"/>
    <m/>
    <n v="0"/>
    <m/>
    <n v="0"/>
  </r>
  <r>
    <s v="MarkWest Liberty Midstream"/>
    <s v="Marshall, WV"/>
    <x v="7"/>
    <x v="12"/>
    <x v="6"/>
    <x v="0"/>
    <x v="0"/>
    <n v="190000000"/>
    <n v="38000"/>
    <s v="bpd"/>
    <n v="0.76"/>
    <m/>
    <m/>
    <m/>
    <m/>
  </r>
  <r>
    <s v="MarkWest Liberty Midstream"/>
    <s v="Washington (Houston), PA"/>
    <x v="15"/>
    <x v="12"/>
    <x v="6"/>
    <x v="0"/>
    <x v="0"/>
    <n v="190000000"/>
    <n v="100000"/>
    <s v="bpd"/>
    <n v="0.76"/>
    <m/>
    <m/>
    <m/>
    <m/>
  </r>
  <r>
    <s v="Markwest Utica"/>
    <s v="Harrison, OH"/>
    <x v="1"/>
    <x v="12"/>
    <x v="6"/>
    <x v="0"/>
    <x v="1"/>
    <s v="Incl."/>
    <n v="36000"/>
    <s v="bpd"/>
    <n v="0.76"/>
    <m/>
    <m/>
    <m/>
    <m/>
  </r>
  <r>
    <s v="Markwest Utica"/>
    <s v="Harrison, OH"/>
    <x v="1"/>
    <x v="12"/>
    <x v="6"/>
    <x v="0"/>
    <x v="0"/>
    <n v="180000000"/>
    <n v="76000"/>
    <s v="bpd"/>
    <n v="0.76"/>
    <m/>
    <m/>
    <m/>
    <m/>
  </r>
  <r>
    <s v="Markwest Utica"/>
    <s v="Harrison, OH"/>
    <x v="1"/>
    <x v="12"/>
    <x v="0"/>
    <x v="0"/>
    <x v="0"/>
    <n v="300000000"/>
    <n v="60000"/>
    <s v="bpd"/>
    <n v="0.76"/>
    <m/>
    <n v="0"/>
    <m/>
    <n v="0"/>
  </r>
  <r>
    <s v="MEGlobal (Dow&amp;Petrochemical Industries Co)"/>
    <s v="Freeport, TX"/>
    <x v="4"/>
    <x v="9"/>
    <x v="4"/>
    <x v="2"/>
    <x v="0"/>
    <n v="1000000000"/>
    <n v="750000"/>
    <s v="mt/yr"/>
    <n v="0.76"/>
    <m/>
    <n v="0"/>
    <m/>
    <m/>
  </r>
  <r>
    <s v="Metal-Matic"/>
    <s v="Middleton, OH"/>
    <x v="1"/>
    <x v="3"/>
    <x v="7"/>
    <x v="5"/>
    <x v="1"/>
    <n v="4000000"/>
    <n v="4000"/>
    <s v="mt/yr"/>
    <n v="0.76"/>
    <n v="8000"/>
    <n v="2.1917808219178083E-5"/>
    <n v="8000"/>
    <n v="2.1917808219178083E-5"/>
  </r>
  <r>
    <s v="Methanex"/>
    <s v="Geismar, LA"/>
    <x v="11"/>
    <x v="15"/>
    <x v="6"/>
    <x v="0"/>
    <x v="3"/>
    <n v="550000000"/>
    <n v="1000000"/>
    <s v="mt/yr"/>
    <n v="0.76"/>
    <n v="24295680"/>
    <n v="6.6563506849315071E-2"/>
    <n v="24801840"/>
    <n v="6.795024657534246E-2"/>
  </r>
  <r>
    <s v="Methanex"/>
    <s v="Geismar, LA"/>
    <x v="11"/>
    <x v="15"/>
    <x v="1"/>
    <x v="0"/>
    <x v="3"/>
    <n v="1400000000"/>
    <n v="1000000"/>
    <s v="mt/yr"/>
    <n v="0.76"/>
    <n v="24295680"/>
    <n v="6.6563506849315071E-2"/>
    <n v="24801840"/>
    <n v="6.795024657534246E-2"/>
  </r>
  <r>
    <s v="Mexichem/OxyChem"/>
    <s v="Ingleside, TX"/>
    <x v="4"/>
    <x v="6"/>
    <x v="10"/>
    <x v="1"/>
    <x v="0"/>
    <n v="1000000000"/>
    <n v="544000"/>
    <s v="mt/yr"/>
    <n v="0.76"/>
    <n v="7979392"/>
    <n v="2.186134794520548E-2"/>
    <n v="12762892.800000001"/>
    <n v="3.4966829589041099E-2"/>
  </r>
  <r>
    <s v="Michelin"/>
    <s v="Anderson, SC"/>
    <x v="13"/>
    <x v="2"/>
    <x v="3"/>
    <x v="1"/>
    <x v="0"/>
    <n v="750000000"/>
    <m/>
    <m/>
    <m/>
    <m/>
    <m/>
    <m/>
    <m/>
  </r>
  <r>
    <s v="Midwest Fertilizer"/>
    <s v="Mt. Vernon, IN"/>
    <x v="10"/>
    <x v="4"/>
    <x v="8"/>
    <x v="4"/>
    <x v="0"/>
    <n v="2700000000"/>
    <n v="730000"/>
    <s v="mt/yr"/>
    <n v="0.76"/>
    <n v="17126676"/>
    <n v="4.6922399999999996E-2"/>
    <n v="26703400"/>
    <n v="7.3160000000000003E-2"/>
  </r>
  <r>
    <s v="Mitsui Chemicals"/>
    <s v="Freeport, TX"/>
    <x v="4"/>
    <x v="9"/>
    <x v="2"/>
    <x v="2"/>
    <x v="0"/>
    <n v="590000000"/>
    <m/>
    <m/>
    <n v="0.76"/>
    <m/>
    <m/>
    <m/>
    <n v="0"/>
  </r>
  <r>
    <s v="Mitsui Chemicals (Prime Polymer)"/>
    <s v="Sidney, OH"/>
    <x v="1"/>
    <x v="10"/>
    <x v="6"/>
    <x v="1"/>
    <x v="1"/>
    <n v="49000000"/>
    <n v="35000"/>
    <s v="mt/yr"/>
    <n v="0.76"/>
    <n v="175959"/>
    <n v="4.8207945205479453E-4"/>
    <n v="351918"/>
    <n v="9.6415890410958907E-4"/>
  </r>
  <r>
    <s v="Mitsui Chemicals (Prime Polymer)"/>
    <s v="Sidney, OH"/>
    <x v="1"/>
    <x v="10"/>
    <x v="0"/>
    <x v="0"/>
    <x v="1"/>
    <n v="39200000"/>
    <n v="28000"/>
    <s v="mt/yr"/>
    <n v="0.76"/>
    <n v="140767.20000000001"/>
    <n v="3.8566356164383562E-4"/>
    <n v="281534.40000000002"/>
    <n v="7.7132712328767123E-4"/>
  </r>
  <r>
    <s v="Molycorp Phase I"/>
    <s v="Mountain Pass, CA"/>
    <x v="23"/>
    <x v="17"/>
    <x v="0"/>
    <x v="0"/>
    <x v="0"/>
    <n v="850000000"/>
    <n v="19050"/>
    <s v="mt/yr"/>
    <n v="0.76"/>
    <n v="86868"/>
    <n v="2.3799452054794521E-4"/>
    <n v="86868"/>
    <n v="2.3799452054794521E-4"/>
  </r>
  <r>
    <s v="Molycorp Phase II"/>
    <s v="Mountain Pass, CA"/>
    <x v="23"/>
    <x v="17"/>
    <x v="2"/>
    <x v="3"/>
    <x v="0"/>
    <n v="400000000"/>
    <n v="40000"/>
    <s v="mt/yr"/>
    <n v="0.76"/>
    <n v="182400"/>
    <n v="4.9972602739726027E-4"/>
    <n v="182400"/>
    <n v="4.9972602739726027E-4"/>
  </r>
  <r>
    <s v="Mosaic"/>
    <s v="Faustina, LA"/>
    <x v="11"/>
    <x v="4"/>
    <x v="2"/>
    <x v="8"/>
    <x v="0"/>
    <n v="700000000"/>
    <n v="800000"/>
    <s v="mt/yr"/>
    <n v="0.76"/>
    <n v="18768960"/>
    <n v="5.1421808219178085E-2"/>
    <n v="29264000"/>
    <n v="8.0175342465753419E-2"/>
  </r>
  <r>
    <s v="Nachurs Alpine Solutions"/>
    <s v="Iberville Parish, LA"/>
    <x v="11"/>
    <x v="4"/>
    <x v="6"/>
    <x v="0"/>
    <x v="0"/>
    <n v="13900000"/>
    <n v="13900"/>
    <s v="mt/yr"/>
    <n v="0.76"/>
    <n v="326110.68"/>
    <n v="8.9345391780821918E-4"/>
    <n v="508462"/>
    <n v="1.3930465753424657E-3"/>
  </r>
  <r>
    <s v="NCRA-National Cooperative Refinery Association (CHS)"/>
    <s v="McPherson, KS"/>
    <x v="26"/>
    <x v="5"/>
    <x v="1"/>
    <x v="1"/>
    <x v="1"/>
    <n v="24444444.444444444"/>
    <n v="40"/>
    <s v="MMSCFD"/>
    <n v="0.76"/>
    <n v="4915528"/>
    <n v="1.34672E-2"/>
    <n v="5326080"/>
    <n v="1.4592000000000001E-2"/>
  </r>
  <r>
    <s v="Northern Plains Nitrogen "/>
    <s v="Grand Forks, ND"/>
    <x v="12"/>
    <x v="4"/>
    <x v="5"/>
    <x v="4"/>
    <x v="0"/>
    <n v="2500000000"/>
    <n v="876000"/>
    <s v="mt/yr"/>
    <n v="0.76"/>
    <n v="20552011.199999999"/>
    <n v="5.6306880000000011E-2"/>
    <n v="32044080"/>
    <n v="8.7792000000000009E-2"/>
  </r>
  <r>
    <s v="Northwest Innovation Works"/>
    <s v="Kalama, WA"/>
    <x v="31"/>
    <x v="15"/>
    <x v="5"/>
    <x v="4"/>
    <x v="0"/>
    <n v="1800000000"/>
    <n v="1825000"/>
    <s v="mt/yr"/>
    <n v="0.76"/>
    <n v="44339616"/>
    <n v="0.1214784"/>
    <n v="45263358"/>
    <n v="0.12400919999999999"/>
  </r>
  <r>
    <s v="Northwest Innovation Works"/>
    <s v="Clatskanie, OR"/>
    <x v="32"/>
    <x v="15"/>
    <x v="5"/>
    <x v="4"/>
    <x v="0"/>
    <n v="1800000000"/>
    <n v="1825000"/>
    <s v="mt/yr"/>
    <n v="0.76"/>
    <n v="44339616"/>
    <n v="0.1214784"/>
    <n v="45263358"/>
    <n v="0.12400919999999999"/>
  </r>
  <r>
    <s v="Northwest Innovation Works"/>
    <s v="Port of Tacoma, WA"/>
    <x v="31"/>
    <x v="15"/>
    <x v="4"/>
    <x v="7"/>
    <x v="0"/>
    <n v="3400000000"/>
    <n v="1825000"/>
    <s v="mt/yr"/>
    <n v="0.76"/>
    <n v="44339616"/>
    <n v="0.1214784"/>
    <n v="45263358"/>
    <n v="0.12400919999999999"/>
  </r>
  <r>
    <s v="Nucor"/>
    <s v="St. James Parish, LA"/>
    <x v="11"/>
    <x v="18"/>
    <x v="0"/>
    <x v="0"/>
    <x v="0"/>
    <n v="750000000"/>
    <n v="2500000"/>
    <s v="mt/yr"/>
    <n v="0.8"/>
    <n v="18850000"/>
    <n v="5.1643835616438358E-2"/>
    <n v="26000000"/>
    <n v="7.1232876712328766E-2"/>
  </r>
  <r>
    <s v="Nucor"/>
    <s v="Blytheville, AK"/>
    <x v="5"/>
    <x v="18"/>
    <x v="6"/>
    <x v="0"/>
    <x v="1"/>
    <n v="115000000"/>
    <n v="115000"/>
    <s v="mt/yr"/>
    <n v="0.8"/>
    <n v="867100"/>
    <n v="2.3756164383561644E-3"/>
    <n v="1196000"/>
    <n v="3.2767123287671231E-3"/>
  </r>
  <r>
    <s v="Nucor"/>
    <m/>
    <x v="13"/>
    <x v="18"/>
    <x v="6"/>
    <x v="0"/>
    <x v="1"/>
    <n v="290000000"/>
    <n v="1000000"/>
    <s v="mt/yr"/>
    <n v="0.8"/>
    <n v="7540000"/>
    <n v="2.0657534246575342E-2"/>
    <n v="10400000"/>
    <n v="2.8493150684931509E-2"/>
  </r>
  <r>
    <s v="Occidental"/>
    <s v="Johnsonville, TN"/>
    <x v="9"/>
    <x v="17"/>
    <x v="6"/>
    <x v="0"/>
    <x v="0"/>
    <n v="270000000"/>
    <n v="382500"/>
    <s v="(d)mt/yr"/>
    <n v="0.76"/>
    <n v="1744200"/>
    <n v="4.7786301369863015E-3"/>
    <n v="1744200"/>
    <n v="4.7786301369863015E-3"/>
  </r>
  <r>
    <s v="OCI N.V. (Natgasoline LLC)"/>
    <s v="Beaumont, TX"/>
    <x v="4"/>
    <x v="15"/>
    <x v="10"/>
    <x v="1"/>
    <x v="0"/>
    <n v="1000000000"/>
    <n v="1750000"/>
    <s v="mt/yr"/>
    <n v="0.76"/>
    <n v="42517440"/>
    <n v="0.11648613698630138"/>
    <n v="43403220"/>
    <n v="0.11891293150684933"/>
  </r>
  <r>
    <s v="OCI N.V. (OCI Iowa Fertilizer)"/>
    <s v="Wever, IA"/>
    <x v="8"/>
    <x v="4"/>
    <x v="10"/>
    <x v="1"/>
    <x v="0"/>
    <n v="1800000000"/>
    <n v="1500000"/>
    <s v="mt/yr"/>
    <n v="0.76"/>
    <n v="35191800"/>
    <n v="9.641589041095891E-2"/>
    <n v="54870000"/>
    <n v="0.15032876712328766"/>
  </r>
  <r>
    <s v="Ohio Valley Resources LLC "/>
    <s v="Rockport, IN"/>
    <x v="10"/>
    <x v="4"/>
    <x v="10"/>
    <x v="1"/>
    <x v="0"/>
    <n v="1200000000"/>
    <n v="803000"/>
    <s v="mt/yr"/>
    <n v="0.76"/>
    <n v="18839343.600000001"/>
    <n v="5.1614639999999996E-2"/>
    <n v="29373740"/>
    <n v="8.0476000000000006E-2"/>
  </r>
  <r>
    <s v="OneOK Inc. (Bushton)"/>
    <s v="Ellsworth, KS"/>
    <x v="26"/>
    <x v="12"/>
    <x v="0"/>
    <x v="0"/>
    <x v="0"/>
    <n v="117000000"/>
    <n v="60000"/>
    <s v="bpd"/>
    <n v="0.76"/>
    <m/>
    <n v="0"/>
    <m/>
    <n v="0"/>
  </r>
  <r>
    <s v="OneOK Inc. (MB2)"/>
    <s v="Mt. Belvieu, TX"/>
    <x v="4"/>
    <x v="12"/>
    <x v="0"/>
    <x v="0"/>
    <x v="0"/>
    <n v="395000000"/>
    <n v="75000"/>
    <s v="bpd"/>
    <n v="0.76"/>
    <m/>
    <n v="0"/>
    <m/>
    <n v="0"/>
  </r>
  <r>
    <s v="OneOK Inc. (MB3)"/>
    <s v="Mt. Belvieu, TX"/>
    <x v="4"/>
    <x v="12"/>
    <x v="6"/>
    <x v="1"/>
    <x v="0"/>
    <n v="415000000"/>
    <n v="75000"/>
    <s v="bpd"/>
    <n v="0.76"/>
    <m/>
    <m/>
    <m/>
    <m/>
  </r>
  <r>
    <s v="Orascom (OCI)"/>
    <s v="Beaumont, TX"/>
    <x v="4"/>
    <x v="15"/>
    <x v="7"/>
    <x v="5"/>
    <x v="2"/>
    <n v="65000000"/>
    <n v="750000"/>
    <s v="mt/yr"/>
    <n v="0.76"/>
    <n v="18221760"/>
    <n v="4.99226301369863E-2"/>
    <n v="18601380"/>
    <n v="5.0962684931506859E-2"/>
  </r>
  <r>
    <s v="Pacific Northwest"/>
    <s v="Longview, WA"/>
    <x v="31"/>
    <x v="4"/>
    <x v="12"/>
    <x v="6"/>
    <x v="0"/>
    <m/>
    <m/>
    <m/>
    <m/>
    <m/>
    <n v="0"/>
    <m/>
    <m/>
  </r>
  <r>
    <s v="Pallas Nitrogen"/>
    <s v="Pasadena, TX"/>
    <x v="4"/>
    <x v="4"/>
    <x v="1"/>
    <x v="1"/>
    <x v="0"/>
    <m/>
    <n v="218540.83"/>
    <s v="mt/yr"/>
    <n v="0.76"/>
    <m/>
    <n v="0"/>
    <m/>
    <m/>
  </r>
  <r>
    <s v="Phibro"/>
    <s v="West Terre Haute, IN"/>
    <x v="10"/>
    <x v="4"/>
    <x v="5"/>
    <x v="4"/>
    <x v="0"/>
    <n v="450000000"/>
    <n v="547500"/>
    <s v="mt/yr"/>
    <n v="0.76"/>
    <n v="12845007"/>
    <n v="3.5191799999999995E-2"/>
    <n v="20027550"/>
    <n v="5.4869999999999995E-2"/>
  </r>
  <r>
    <s v="Phillips 66"/>
    <s v="Old Ocean, TX"/>
    <x v="4"/>
    <x v="12"/>
    <x v="3"/>
    <x v="1"/>
    <x v="0"/>
    <m/>
    <n v="100000"/>
    <s v="bpd"/>
    <n v="0.76"/>
    <m/>
    <m/>
    <m/>
    <m/>
  </r>
  <r>
    <s v="PotashCorp"/>
    <s v="Lima, OH"/>
    <x v="1"/>
    <x v="4"/>
    <x v="3"/>
    <x v="0"/>
    <x v="1"/>
    <n v="190000000"/>
    <n v="72727.272727272721"/>
    <s v="mt/yr"/>
    <n v="0.76"/>
    <n v="1706269.0909090911"/>
    <n v="4.6747098381070993E-3"/>
    <n v="2660363.6363636358"/>
    <n v="7.288667496886672E-3"/>
  </r>
  <r>
    <s v="PotashCorp"/>
    <s v="Augusta, GA"/>
    <x v="16"/>
    <x v="4"/>
    <x v="9"/>
    <x v="6"/>
    <x v="0"/>
    <m/>
    <m/>
    <m/>
    <m/>
    <m/>
    <n v="0"/>
    <m/>
    <m/>
  </r>
  <r>
    <s v="PotashCorp (PCS Nitrogen)"/>
    <s v="Geismar, LA"/>
    <x v="11"/>
    <x v="4"/>
    <x v="0"/>
    <x v="0"/>
    <x v="2"/>
    <n v="260000000"/>
    <n v="500000"/>
    <s v="mt/yr"/>
    <n v="0.76"/>
    <n v="11730600"/>
    <n v="3.2138630136986306E-2"/>
    <n v="18290000"/>
    <n v="5.0109589041095887E-2"/>
  </r>
  <r>
    <s v="Praxair"/>
    <s v="St. Charles, LA"/>
    <x v="11"/>
    <x v="5"/>
    <x v="0"/>
    <x v="0"/>
    <x v="0"/>
    <n v="82500000"/>
    <n v="135"/>
    <s v="MMSCFD"/>
    <n v="0.76"/>
    <n v="16589907"/>
    <n v="4.5451800000000001E-2"/>
    <n v="17975520"/>
    <n v="4.9248E-2"/>
  </r>
  <r>
    <s v="Praxair"/>
    <s v="Port Arthur, TX"/>
    <x v="4"/>
    <x v="5"/>
    <x v="0"/>
    <x v="0"/>
    <x v="0"/>
    <n v="82500000"/>
    <n v="135"/>
    <s v="MMSCFD"/>
    <n v="0.76"/>
    <n v="16589907"/>
    <n v="4.5451800000000001E-2"/>
    <n v="17975520"/>
    <n v="4.9248E-2"/>
  </r>
  <r>
    <s v="Praxair"/>
    <s v="Niagara Falls, NY"/>
    <x v="33"/>
    <x v="5"/>
    <x v="3"/>
    <x v="1"/>
    <x v="1"/>
    <n v="22000000"/>
    <n v="7.5"/>
    <s v="MMSCFD"/>
    <n v="0.76"/>
    <n v="921661.5"/>
    <n v="2.5251000000000002E-3"/>
    <n v="998640"/>
    <n v="2.7359999999999997E-3"/>
  </r>
  <r>
    <s v="Praxair"/>
    <s v="Kirtland, NM"/>
    <x v="34"/>
    <x v="9"/>
    <x v="6"/>
    <x v="2"/>
    <x v="0"/>
    <m/>
    <m/>
    <m/>
    <n v="0.76"/>
    <m/>
    <m/>
    <m/>
    <m/>
  </r>
  <r>
    <s v="Praxair"/>
    <s v="Freeport, TX"/>
    <x v="4"/>
    <x v="5"/>
    <x v="10"/>
    <x v="1"/>
    <x v="0"/>
    <n v="400000000"/>
    <m/>
    <m/>
    <n v="0.76"/>
    <n v="0"/>
    <n v="0"/>
    <n v="0"/>
    <n v="0"/>
  </r>
  <r>
    <s v="Primus Green Energy"/>
    <m/>
    <x v="20"/>
    <x v="20"/>
    <x v="10"/>
    <x v="2"/>
    <x v="0"/>
    <n v="200000000"/>
    <n v="2500"/>
    <s v="bpd"/>
    <n v="0.76"/>
    <n v="7172454.4000000004"/>
    <n v="1.9650560000000001E-2"/>
    <n v="8115931.4285714291"/>
    <n v="2.2235428571428573E-2"/>
  </r>
  <r>
    <s v="PTT Global Chemical"/>
    <s v="Belmont County, OH"/>
    <x v="1"/>
    <x v="6"/>
    <x v="8"/>
    <x v="8"/>
    <x v="0"/>
    <n v="5700000000"/>
    <n v="1000000"/>
    <s v="mt/yr"/>
    <n v="0.76"/>
    <n v="14668000"/>
    <n v="4.0186301369863009E-2"/>
    <n v="23461200"/>
    <n v="6.4277260273972611E-2"/>
  </r>
  <r>
    <s v="QEP Energy Resources"/>
    <s v="Sweetwater, UT"/>
    <x v="35"/>
    <x v="12"/>
    <x v="0"/>
    <x v="0"/>
    <x v="1"/>
    <n v="58500000"/>
    <n v="10000"/>
    <s v="bpd"/>
    <n v="0.76"/>
    <m/>
    <n v="0"/>
    <m/>
    <n v="0"/>
  </r>
  <r>
    <s v="Rentech Nitrogen"/>
    <s v="Pasadena, TX"/>
    <x v="4"/>
    <x v="4"/>
    <x v="6"/>
    <x v="0"/>
    <x v="1"/>
    <n v="63120000"/>
    <n v="153300"/>
    <s v="mt/yr"/>
    <n v="0.76"/>
    <n v="3596601.96"/>
    <n v="9.8537039999999996E-3"/>
    <n v="5607714"/>
    <n v="1.53636E-2"/>
  </r>
  <r>
    <s v="Rentech Nitrogen"/>
    <s v="East Dubuque, IL"/>
    <x v="2"/>
    <x v="4"/>
    <x v="6"/>
    <x v="0"/>
    <x v="1"/>
    <n v="101300000"/>
    <n v="63045.454545454544"/>
    <s v="mt/yr"/>
    <n v="0.76"/>
    <n v="1479122.0181818183"/>
    <n v="4.052389090909091E-3"/>
    <n v="2306202.7272727271"/>
    <n v="6.318363636363635E-3"/>
  </r>
  <r>
    <s v="Rextac"/>
    <s v="Odessa, TX"/>
    <x v="4"/>
    <x v="10"/>
    <x v="10"/>
    <x v="2"/>
    <x v="1"/>
    <n v="860000000"/>
    <n v="570000"/>
    <s v="mt/yr"/>
    <n v="0.76"/>
    <n v="2865618"/>
    <n v="7.8510082191780815E-3"/>
    <n v="5731236"/>
    <n v="1.5702016438356163E-2"/>
  </r>
  <r>
    <s v="Sage "/>
    <s v="Fairbaul, MN"/>
    <x v="21"/>
    <x v="2"/>
    <x v="0"/>
    <x v="0"/>
    <x v="0"/>
    <n v="150000000"/>
    <m/>
    <m/>
    <m/>
    <m/>
    <n v="0"/>
    <m/>
    <n v="0"/>
  </r>
  <r>
    <s v="Sasol"/>
    <s v="Lake Charles, LA"/>
    <x v="11"/>
    <x v="6"/>
    <x v="5"/>
    <x v="1"/>
    <x v="0"/>
    <n v="8100000000"/>
    <n v="1500000"/>
    <s v="mt/yr"/>
    <n v="0.76"/>
    <n v="22002000"/>
    <n v="6.027945205479452E-2"/>
    <n v="35191800"/>
    <n v="9.641589041095891E-2"/>
  </r>
  <r>
    <s v="Sasol"/>
    <s v="Lake Charles, LA"/>
    <x v="11"/>
    <x v="13"/>
    <x v="4"/>
    <x v="3"/>
    <x v="0"/>
    <n v="14000000000"/>
    <n v="96000"/>
    <s v="bpd"/>
    <n v="0.76"/>
    <n v="275422248.95999998"/>
    <n v="0.75458150400000001"/>
    <n v="311651766.85714287"/>
    <n v="0.85384045714285706"/>
  </r>
  <r>
    <s v="Sasol"/>
    <s v="Lake Charles, LA"/>
    <x v="11"/>
    <x v="8"/>
    <x v="5"/>
    <x v="8"/>
    <x v="0"/>
    <n v="199800000"/>
    <n v="450000"/>
    <s v="mt/yr"/>
    <n v="0.76"/>
    <n v="1641600"/>
    <n v="4.4975342465753427E-3"/>
    <n v="1641600"/>
    <n v="4.4975342465753427E-3"/>
  </r>
  <r>
    <s v="Sasol/INEOS JV"/>
    <s v="LaPorte, TX"/>
    <x v="4"/>
    <x v="8"/>
    <x v="10"/>
    <x v="1"/>
    <x v="0"/>
    <n v="500000000"/>
    <n v="470000"/>
    <s v="mt/yr"/>
    <n v="0.76"/>
    <n v="1714560"/>
    <n v="4.6974246575342462E-3"/>
    <n v="1714560"/>
    <n v="4.6974246575342462E-3"/>
  </r>
  <r>
    <s v="SGC Energia SA/Great Northern Project Development (Juniper)"/>
    <s v="Westlake, LA"/>
    <x v="11"/>
    <x v="13"/>
    <x v="10"/>
    <x v="1"/>
    <x v="0"/>
    <n v="135000000"/>
    <n v="1100"/>
    <s v="bpd"/>
    <n v="0.76"/>
    <n v="3155879.9360000002"/>
    <n v="8.6462463999999999E-3"/>
    <n v="3571009.8285714285"/>
    <n v="9.7835885714285704E-3"/>
  </r>
  <r>
    <s v="Shell"/>
    <m/>
    <x v="11"/>
    <x v="13"/>
    <x v="9"/>
    <x v="7"/>
    <x v="0"/>
    <n v="12500000000"/>
    <n v="140000"/>
    <s v="bpd"/>
    <n v="0.76"/>
    <n v="401657446.39999998"/>
    <n v="1.10043136"/>
    <n v="454492160"/>
    <n v="1.2451839999999998"/>
  </r>
  <r>
    <s v="Shell Chemical"/>
    <s v="Monaca, PA"/>
    <x v="15"/>
    <x v="6"/>
    <x v="12"/>
    <x v="2"/>
    <x v="0"/>
    <n v="6000000000"/>
    <n v="1500000"/>
    <s v="mt/yr"/>
    <n v="0.76"/>
    <n v="22002000"/>
    <n v="6.027945205479452E-2"/>
    <n v="35191800"/>
    <n v="9.641589041095891E-2"/>
  </r>
  <r>
    <s v="Shell Chemical"/>
    <s v="Deer Park, TX"/>
    <x v="4"/>
    <x v="6"/>
    <x v="9"/>
    <x v="6"/>
    <x v="1"/>
    <m/>
    <m/>
    <m/>
    <m/>
    <m/>
    <n v="0"/>
    <m/>
    <m/>
  </r>
  <r>
    <s v="Shin-Etsu (Shintech)"/>
    <s v="Plaquemine, LA"/>
    <x v="11"/>
    <x v="6"/>
    <x v="5"/>
    <x v="4"/>
    <x v="0"/>
    <n v="972000000"/>
    <n v="500000"/>
    <s v="t/yr"/>
    <n v="0.76"/>
    <n v="7334000"/>
    <n v="2.0093150684931504E-2"/>
    <n v="11730600"/>
    <n v="3.2138630136986306E-2"/>
  </r>
  <r>
    <s v="Shin-Etsu (Shintech)"/>
    <s v="Plaquemine, LA"/>
    <x v="11"/>
    <x v="17"/>
    <x v="3"/>
    <x v="2"/>
    <x v="1"/>
    <n v="500000000"/>
    <n v="800000"/>
    <s v="(d)mt/yr"/>
    <n v="0.76"/>
    <n v="3648000"/>
    <n v="9.9945205479452064E-3"/>
    <n v="3648000"/>
    <n v="9.9945205479452064E-3"/>
  </r>
  <r>
    <s v="Shintech"/>
    <s v="Plaquemine, LA"/>
    <x v="11"/>
    <x v="6"/>
    <x v="5"/>
    <x v="1"/>
    <x v="0"/>
    <n v="1400000000"/>
    <n v="800000"/>
    <s v="mt/yr"/>
    <n v="0.76"/>
    <n v="11734400"/>
    <n v="3.214904109589041E-2"/>
    <n v="18768960"/>
    <n v="5.1421808219178085E-2"/>
  </r>
  <r>
    <s v="Simplot"/>
    <s v="Rock Spring, WY"/>
    <x v="36"/>
    <x v="4"/>
    <x v="1"/>
    <x v="4"/>
    <x v="0"/>
    <n v="350000000"/>
    <n v="199090"/>
    <s v="mt/yr"/>
    <n v="0.76"/>
    <n v="4670890.3080000002"/>
    <n v="1.2796959747945204E-2"/>
    <n v="7282712.1999999993"/>
    <n v="1.9952636164383558E-2"/>
  </r>
  <r>
    <s v="Solvay"/>
    <s v="Green River, WY"/>
    <x v="36"/>
    <x v="9"/>
    <x v="2"/>
    <x v="2"/>
    <x v="1"/>
    <m/>
    <m/>
    <m/>
    <n v="0.76"/>
    <m/>
    <m/>
    <m/>
    <n v="0"/>
  </r>
  <r>
    <s v="South Louisiana Methanol (A partnership of ZEEP and Todd Corp )"/>
    <s v="St. James Parish, LA"/>
    <x v="11"/>
    <x v="15"/>
    <x v="10"/>
    <x v="8"/>
    <x v="0"/>
    <n v="1300000000"/>
    <n v="1920000"/>
    <s v="mt/yr"/>
    <n v="0.76"/>
    <n v="46647705.600000001"/>
    <n v="0.12780193315068494"/>
    <n v="47619532.799999997"/>
    <n v="0.13046447342465753"/>
  </r>
  <r>
    <s v="Southcross Energy"/>
    <s v="Refugio, TX"/>
    <x v="4"/>
    <x v="12"/>
    <x v="0"/>
    <x v="0"/>
    <x v="1"/>
    <n v="64350000"/>
    <n v="11500"/>
    <s v="bpd"/>
    <n v="0.76"/>
    <m/>
    <n v="0"/>
    <m/>
    <n v="0"/>
  </r>
  <r>
    <s v="Summit Power "/>
    <s v="Penwell, TX"/>
    <x v="4"/>
    <x v="4"/>
    <x v="1"/>
    <x v="2"/>
    <x v="0"/>
    <n v="450000000"/>
    <m/>
    <s v="mt/yr"/>
    <n v="0.76"/>
    <n v="0"/>
    <n v="0"/>
    <n v="0"/>
    <n v="0"/>
  </r>
  <r>
    <s v="Sundrop"/>
    <s v="Alexandria, LA"/>
    <x v="11"/>
    <x v="20"/>
    <x v="3"/>
    <x v="6"/>
    <x v="0"/>
    <n v="195000000"/>
    <n v="15000"/>
    <s v="bpd"/>
    <n v="0.76"/>
    <n v="43034726.399999999"/>
    <n v="0.11790335999999998"/>
    <n v="48695588.571428575"/>
    <n v="0.13341257142857144"/>
  </r>
  <r>
    <s v="Sunoco Logistics"/>
    <s v="Marcus Hook, PA"/>
    <x v="15"/>
    <x v="10"/>
    <x v="9"/>
    <x v="6"/>
    <x v="0"/>
    <m/>
    <m/>
    <m/>
    <m/>
    <m/>
    <m/>
    <m/>
    <m/>
  </r>
  <r>
    <s v="Syngas Energy Holdings"/>
    <s v="St. James Parish, LA"/>
    <x v="11"/>
    <x v="15"/>
    <x v="5"/>
    <x v="4"/>
    <x v="0"/>
    <n v="360000000"/>
    <n v="500000"/>
    <s v="mt/yr"/>
    <n v="0.76"/>
    <n v="12147840"/>
    <n v="3.3281753424657536E-2"/>
    <n v="12400920"/>
    <n v="3.397512328767123E-2"/>
  </r>
  <r>
    <s v="Targa Resources"/>
    <s v="Wise County, TX"/>
    <x v="4"/>
    <x v="12"/>
    <x v="0"/>
    <x v="0"/>
    <x v="0"/>
    <n v="150000000"/>
    <n v="36400"/>
    <s v="bpd"/>
    <n v="0.76"/>
    <m/>
    <n v="0"/>
    <m/>
    <n v="0"/>
  </r>
  <r>
    <s v="Targa Resources (CBF Train 4)"/>
    <s v="Mt. Belvieu, TX"/>
    <x v="4"/>
    <x v="12"/>
    <x v="0"/>
    <x v="0"/>
    <x v="0"/>
    <n v="360000000"/>
    <n v="100000"/>
    <s v="bpd"/>
    <n v="0.76"/>
    <m/>
    <n v="0"/>
    <m/>
    <n v="0"/>
  </r>
  <r>
    <s v="Timken steel"/>
    <s v="Canton, OH"/>
    <x v="1"/>
    <x v="21"/>
    <x v="1"/>
    <x v="2"/>
    <x v="0"/>
    <n v="40000000"/>
    <n v="50000"/>
    <s v="mt/yr"/>
    <n v="0.8"/>
    <n v="377000.00000000006"/>
    <n v="1.0328767123287672E-3"/>
    <n v="520000"/>
    <n v="1.4246575342465753E-3"/>
  </r>
  <r>
    <s v="Timken steel"/>
    <s v="Canton, OH"/>
    <x v="1"/>
    <x v="21"/>
    <x v="6"/>
    <x v="0"/>
    <x v="1"/>
    <n v="225000000"/>
    <n v="175000"/>
    <s v="mt/yr"/>
    <n v="0.8"/>
    <n v="1319500.0000000002"/>
    <n v="3.6150684931506851E-3"/>
    <n v="1820000"/>
    <n v="4.9863013698630138E-3"/>
  </r>
  <r>
    <s v="Total SA"/>
    <s v="Port Arthur, TX"/>
    <x v="4"/>
    <x v="6"/>
    <x v="4"/>
    <x v="8"/>
    <x v="0"/>
    <n v="2000000000"/>
    <n v="1000000"/>
    <s v="mt/yr"/>
    <n v="0.76"/>
    <n v="14668000"/>
    <n v="4.0186301369863009E-2"/>
    <n v="23461200"/>
    <n v="6.4277260273972611E-2"/>
  </r>
  <r>
    <s v="TPC Group"/>
    <s v="Houston, TX"/>
    <x v="4"/>
    <x v="9"/>
    <x v="6"/>
    <x v="8"/>
    <x v="1"/>
    <m/>
    <m/>
    <m/>
    <n v="0.76"/>
    <m/>
    <m/>
    <m/>
    <m/>
  </r>
  <r>
    <s v="United States Steel"/>
    <s v="Leipsic and Lorain, OH"/>
    <x v="1"/>
    <x v="3"/>
    <x v="7"/>
    <x v="5"/>
    <x v="1"/>
    <n v="650000000"/>
    <n v="1200000"/>
    <s v="mt/yr"/>
    <n v="0.76"/>
    <n v="2400000"/>
    <n v="6.5753424657534242E-3"/>
    <n v="2400000"/>
    <n v="6.5753424657534242E-3"/>
  </r>
  <r>
    <s v="United States Steel"/>
    <s v="Braddock, PA"/>
    <x v="15"/>
    <x v="3"/>
    <x v="2"/>
    <x v="2"/>
    <x v="1"/>
    <n v="187000000"/>
    <m/>
    <m/>
    <n v="0.76"/>
    <m/>
    <m/>
    <m/>
    <n v="0"/>
  </r>
  <r>
    <s v="US GTL (Nerd gas &amp; Greyrock)"/>
    <s v="Sweetwater,WY"/>
    <x v="36"/>
    <x v="13"/>
    <x v="9"/>
    <x v="6"/>
    <x v="0"/>
    <n v="900000000"/>
    <n v="15000"/>
    <s v="bpd"/>
    <n v="0.76"/>
    <n v="43034726.399999999"/>
    <n v="0.11790335999999998"/>
    <n v="48695588.571428575"/>
    <n v="0.13341257142857144"/>
  </r>
  <r>
    <s v="US Methanol"/>
    <s v="Belle, WV"/>
    <x v="7"/>
    <x v="15"/>
    <x v="9"/>
    <x v="6"/>
    <x v="0"/>
    <m/>
    <m/>
    <m/>
    <m/>
    <m/>
    <m/>
    <m/>
    <m/>
  </r>
  <r>
    <s v="US Nitrogen"/>
    <s v="Greeneville, TN"/>
    <x v="9"/>
    <x v="4"/>
    <x v="1"/>
    <x v="0"/>
    <x v="0"/>
    <n v="237500000"/>
    <n v="59229.545454545449"/>
    <s v="mt/yr"/>
    <n v="0.76"/>
    <n v="1389596.2118181817"/>
    <n v="3.807112909090909E-3"/>
    <n v="2166616.7727272725"/>
    <n v="5.9359363636363625E-3"/>
  </r>
  <r>
    <s v="V&amp;M Star LP (Vallourec Group)"/>
    <s v="Youngstown, OH"/>
    <x v="1"/>
    <x v="3"/>
    <x v="7"/>
    <x v="5"/>
    <x v="0"/>
    <n v="1100000000"/>
    <n v="500000"/>
    <s v="mt/yr"/>
    <n v="0.76"/>
    <n v="1000000"/>
    <n v="2.7397260273972603E-3"/>
    <n v="1000000"/>
    <n v="2.7397260273972603E-3"/>
  </r>
  <r>
    <s v="Valero"/>
    <s v="New Orleans Area, LA"/>
    <x v="11"/>
    <x v="15"/>
    <x v="5"/>
    <x v="2"/>
    <x v="0"/>
    <n v="700000000"/>
    <n v="1600000"/>
    <s v="mt/yr"/>
    <n v="0.76"/>
    <n v="38873088"/>
    <n v="0.10650161095890412"/>
    <n v="39682944"/>
    <n v="0.10872039452054796"/>
  </r>
  <r>
    <s v="Velocys plc (Pinto)"/>
    <s v="Ashtabula, OH"/>
    <x v="1"/>
    <x v="13"/>
    <x v="1"/>
    <x v="3"/>
    <x v="0"/>
    <n v="200000000"/>
    <n v="2800"/>
    <s v="bpd"/>
    <n v="0.76"/>
    <n v="8033148.9280000003"/>
    <n v="2.2008627200000002E-2"/>
    <n v="9089843.1999999993"/>
    <n v="2.4903679999999997E-2"/>
  </r>
  <r>
    <s v="Welspun"/>
    <s v="Little Rock, AK"/>
    <x v="5"/>
    <x v="3"/>
    <x v="7"/>
    <x v="5"/>
    <x v="0"/>
    <n v="100000000"/>
    <n v="200000"/>
    <s v="mt/yr"/>
    <n v="0.76"/>
    <n v="400000"/>
    <n v="1.0958904109589042E-3"/>
    <n v="400000"/>
    <n v="1.0958904109589042E-3"/>
  </r>
  <r>
    <s v="Westlake Chemical"/>
    <s v="Lake Charles, LA"/>
    <x v="11"/>
    <x v="6"/>
    <x v="6"/>
    <x v="0"/>
    <x v="1"/>
    <n v="245250000"/>
    <n v="90718"/>
    <s v="mt/yr"/>
    <n v="0.76"/>
    <n v="1330651.6240000001"/>
    <n v="3.6456208876712334E-3"/>
    <n v="2128353.1416000002"/>
    <n v="5.8311044975342466E-3"/>
  </r>
  <r>
    <s v="Westlake Chemical"/>
    <s v="Sulphur, LA"/>
    <x v="11"/>
    <x v="6"/>
    <x v="1"/>
    <x v="1"/>
    <x v="1"/>
    <n v="330000000"/>
    <n v="113398.0925"/>
    <s v="mt/yr"/>
    <n v="0.76"/>
    <n v="1663323.2207900002"/>
    <n v="4.557049919972603E-3"/>
    <n v="2660455.327761"/>
    <n v="7.2889187061945205E-3"/>
  </r>
  <r>
    <s v="Westlake Chemical"/>
    <s v="Geismar, LA"/>
    <x v="11"/>
    <x v="17"/>
    <x v="6"/>
    <x v="0"/>
    <x v="0"/>
    <n v="425000000"/>
    <n v="735000"/>
    <s v="mt/yr"/>
    <n v="0.76"/>
    <n v="3351600"/>
    <n v="9.1824657534246568E-3"/>
    <n v="3351600"/>
    <n v="9.1824657534246568E-3"/>
  </r>
  <r>
    <s v="Westlake Chemical"/>
    <s v="Lake Charles, LA"/>
    <x v="11"/>
    <x v="6"/>
    <x v="10"/>
    <x v="1"/>
    <x v="1"/>
    <n v="350000000"/>
    <n v="113398.0925"/>
    <s v="mt/yr"/>
    <n v="0.76"/>
    <n v="1663323.2207900002"/>
    <n v="4.557049919972603E-3"/>
    <n v="2660455.327761"/>
    <n v="7.2889187061945205E-3"/>
  </r>
  <r>
    <s v="Westlake Chemical"/>
    <s v="Calvert City, KY"/>
    <x v="29"/>
    <x v="6"/>
    <x v="10"/>
    <x v="1"/>
    <x v="1"/>
    <n v="75000000"/>
    <n v="31751.465899999999"/>
    <s v="mt/yr"/>
    <n v="0.76"/>
    <n v="465730.50182119996"/>
    <n v="1.2759739775923286E-3"/>
    <n v="744927.49177307996"/>
    <n v="2.0408972377344656E-3"/>
  </r>
  <r>
    <s v="Williams"/>
    <s v="Geismar, LA"/>
    <x v="11"/>
    <x v="6"/>
    <x v="6"/>
    <x v="0"/>
    <x v="1"/>
    <n v="375000000"/>
    <n v="280000"/>
    <s v="mt/yr"/>
    <n v="0.76"/>
    <n v="4107040"/>
    <n v="1.1252164383561643E-2"/>
    <n v="6569136"/>
    <n v="1.7997632876712331E-2"/>
  </r>
  <r>
    <s v="Williams"/>
    <s v="Marshall, WV (Moundsville I)"/>
    <x v="7"/>
    <x v="12"/>
    <x v="7"/>
    <x v="5"/>
    <x v="4"/>
    <s v="Incl."/>
    <n v="30000"/>
    <s v="bpd"/>
    <n v="0.76"/>
    <m/>
    <n v="0"/>
    <m/>
    <n v="0"/>
  </r>
  <r>
    <s v="Williams"/>
    <s v="Marshall, WV (Ft. Wetzel)"/>
    <x v="7"/>
    <x v="12"/>
    <x v="0"/>
    <x v="0"/>
    <x v="4"/>
    <s v="Incl."/>
    <n v="20000"/>
    <s v="bpd"/>
    <n v="0.76"/>
    <m/>
    <n v="0"/>
    <m/>
    <n v="0"/>
  </r>
  <r>
    <s v="Williams"/>
    <s v="Marshall, WV (Ft. Beeler)"/>
    <x v="7"/>
    <x v="12"/>
    <x v="0"/>
    <x v="0"/>
    <x v="4"/>
    <s v="Incl."/>
    <n v="30000"/>
    <s v="bpd"/>
    <n v="0.76"/>
    <m/>
    <n v="0"/>
    <m/>
    <n v="0"/>
  </r>
  <r>
    <s v="Williams"/>
    <s v="Marshall, WV (Moundsville III)"/>
    <x v="7"/>
    <x v="12"/>
    <x v="0"/>
    <x v="0"/>
    <x v="4"/>
    <s v="Incl."/>
    <n v="30000"/>
    <s v="bpd"/>
    <n v="0.76"/>
    <m/>
    <n v="0"/>
    <m/>
    <n v="0"/>
  </r>
  <r>
    <s v="Williams"/>
    <s v="Marhsall, WV (Moundsville II)"/>
    <x v="7"/>
    <x v="12"/>
    <x v="7"/>
    <x v="5"/>
    <x v="4"/>
    <n v="1340000000"/>
    <n v="12500"/>
    <s v="bpd"/>
    <n v="0.76"/>
    <m/>
    <n v="0"/>
    <m/>
    <n v="0"/>
  </r>
  <r>
    <s v="Yuhuang Chemical Inc"/>
    <s v="St. James Parish, LA"/>
    <x v="11"/>
    <x v="15"/>
    <x v="5"/>
    <x v="1"/>
    <x v="0"/>
    <n v="1850000000"/>
    <n v="3000000"/>
    <s v="mt/yr"/>
    <n v="0.76"/>
    <n v="72887040"/>
    <n v="0.1996905205479452"/>
    <n v="74405520"/>
    <n v="0.20385073972602744"/>
  </r>
  <r>
    <s v="Zeogas"/>
    <s v="Gulf Coast, TX"/>
    <x v="4"/>
    <x v="15"/>
    <x v="9"/>
    <x v="6"/>
    <x v="0"/>
    <n v="1200000000"/>
    <n v="1800000"/>
    <s v="mt/yr"/>
    <n v="0.76"/>
    <n v="43732224"/>
    <n v="0.11981431232876713"/>
    <n v="44643312"/>
    <n v="0.1223104438356164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3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6">
  <location ref="A5:M17" firstHeaderRow="1" firstDataRow="2" firstDataCol="1" rowPageCount="3" colPageCount="1"/>
  <pivotFields count="15">
    <pivotField showAll="0"/>
    <pivotField showAll="0"/>
    <pivotField axis="axisPage" showAll="0">
      <items count="38">
        <item x="0"/>
        <item x="5"/>
        <item x="6"/>
        <item x="20"/>
        <item x="28"/>
        <item x="23"/>
        <item x="14"/>
        <item x="16"/>
        <item x="8"/>
        <item x="30"/>
        <item x="2"/>
        <item x="10"/>
        <item x="26"/>
        <item x="29"/>
        <item x="11"/>
        <item x="24"/>
        <item x="3"/>
        <item x="21"/>
        <item x="18"/>
        <item x="17"/>
        <item x="12"/>
        <item x="27"/>
        <item x="22"/>
        <item x="34"/>
        <item x="33"/>
        <item x="1"/>
        <item x="19"/>
        <item x="32"/>
        <item x="15"/>
        <item x="13"/>
        <item x="9"/>
        <item x="4"/>
        <item x="35"/>
        <item x="31"/>
        <item x="25"/>
        <item x="7"/>
        <item x="36"/>
        <item t="default"/>
      </items>
    </pivotField>
    <pivotField axis="axisCol" showAll="0">
      <items count="23">
        <item h="1" x="7"/>
        <item h="1" x="0"/>
        <item h="1" x="1"/>
        <item x="17"/>
        <item x="6"/>
        <item h="1" x="21"/>
        <item x="13"/>
        <item x="5"/>
        <item h="1" x="2"/>
        <item h="1" x="3"/>
        <item x="15"/>
        <item x="20"/>
        <item h="1" x="12"/>
        <item x="4"/>
        <item x="9"/>
        <item h="1" x="14"/>
        <item x="19"/>
        <item x="8"/>
        <item x="10"/>
        <item h="1" x="16"/>
        <item h="1" x="18"/>
        <item h="1" x="11"/>
        <item t="default"/>
      </items>
    </pivotField>
    <pivotField axis="axisRow" showAll="0">
      <items count="14">
        <item x="7"/>
        <item x="0"/>
        <item x="6"/>
        <item x="3"/>
        <item x="1"/>
        <item x="10"/>
        <item x="5"/>
        <item x="4"/>
        <item x="8"/>
        <item x="12"/>
        <item x="11"/>
        <item x="2"/>
        <item x="9"/>
        <item t="default"/>
      </items>
    </pivotField>
    <pivotField axis="axisPage" multipleItemSelectionAllowed="1" showAll="0">
      <items count="10">
        <item h="1" x="7"/>
        <item x="0"/>
        <item x="8"/>
        <item x="1"/>
        <item h="1" x="5"/>
        <item x="4"/>
        <item h="1" x="2"/>
        <item h="1" x="3"/>
        <item h="1" x="6"/>
        <item t="default"/>
      </items>
    </pivotField>
    <pivotField axis="axisPage" multipleItemSelectionAllowed="1" showAll="0">
      <items count="6">
        <item x="1"/>
        <item h="1" x="4"/>
        <item x="0"/>
        <item x="3"/>
        <item x="2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11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 t="grand">
      <x/>
    </i>
  </rowItems>
  <colFields count="1">
    <field x="3"/>
  </colFields>
  <colItems count="12">
    <i>
      <x v="3"/>
    </i>
    <i>
      <x v="4"/>
    </i>
    <i>
      <x v="6"/>
    </i>
    <i>
      <x v="7"/>
    </i>
    <i>
      <x v="10"/>
    </i>
    <i>
      <x v="11"/>
    </i>
    <i>
      <x v="13"/>
    </i>
    <i>
      <x v="14"/>
    </i>
    <i>
      <x v="16"/>
    </i>
    <i>
      <x v="17"/>
    </i>
    <i>
      <x v="18"/>
    </i>
    <i t="grand">
      <x/>
    </i>
  </colItems>
  <pageFields count="3">
    <pageField fld="2" hier="-1"/>
    <pageField fld="5" hier="-1"/>
    <pageField fld="6" hier="-1"/>
  </pageFields>
  <dataFields count="1">
    <dataField name="Sum of Investment $" fld="7" baseField="4" baseItem="0" numFmtId="166"/>
  </dataFields>
  <formats count="1">
    <format dxfId="70">
      <pivotArea outline="0" collapsedLevelsAreSubtotals="1" fieldPosition="0"/>
    </format>
  </formats>
  <chartFormats count="11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4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6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7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23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4">
  <location ref="A5:L17" firstHeaderRow="1" firstDataRow="2" firstDataCol="1" rowPageCount="3" colPageCount="1"/>
  <pivotFields count="15">
    <pivotField showAll="0"/>
    <pivotField showAll="0"/>
    <pivotField axis="axisPage" showAll="0">
      <items count="38">
        <item x="0"/>
        <item x="5"/>
        <item x="6"/>
        <item x="20"/>
        <item x="28"/>
        <item x="23"/>
        <item x="14"/>
        <item x="16"/>
        <item x="8"/>
        <item x="30"/>
        <item x="2"/>
        <item x="10"/>
        <item x="26"/>
        <item x="29"/>
        <item x="11"/>
        <item x="24"/>
        <item x="3"/>
        <item x="21"/>
        <item x="18"/>
        <item x="17"/>
        <item x="12"/>
        <item x="27"/>
        <item x="22"/>
        <item x="34"/>
        <item x="33"/>
        <item x="1"/>
        <item x="19"/>
        <item x="32"/>
        <item x="15"/>
        <item x="13"/>
        <item x="9"/>
        <item x="4"/>
        <item x="35"/>
        <item x="31"/>
        <item x="25"/>
        <item x="7"/>
        <item x="36"/>
        <item t="default"/>
      </items>
    </pivotField>
    <pivotField axis="axisCol" showAll="0">
      <items count="23">
        <item h="1" x="7"/>
        <item h="1" x="0"/>
        <item h="1" x="1"/>
        <item x="17"/>
        <item x="6"/>
        <item h="1" x="21"/>
        <item x="13"/>
        <item x="5"/>
        <item h="1" x="2"/>
        <item h="1" x="3"/>
        <item x="15"/>
        <item x="20"/>
        <item h="1" x="12"/>
        <item x="4"/>
        <item h="1" x="9"/>
        <item h="1" x="14"/>
        <item x="19"/>
        <item x="8"/>
        <item x="10"/>
        <item h="1" x="16"/>
        <item h="1" x="18"/>
        <item h="1" x="11"/>
        <item t="default"/>
      </items>
    </pivotField>
    <pivotField axis="axisRow" showAll="0">
      <items count="14">
        <item x="7"/>
        <item x="0"/>
        <item x="6"/>
        <item x="3"/>
        <item x="1"/>
        <item x="10"/>
        <item x="5"/>
        <item x="4"/>
        <item x="8"/>
        <item x="12"/>
        <item x="11"/>
        <item x="2"/>
        <item x="9"/>
        <item t="default"/>
      </items>
    </pivotField>
    <pivotField axis="axisPage" multipleItemSelectionAllowed="1" showAll="0">
      <items count="10">
        <item h="1" x="7"/>
        <item x="0"/>
        <item x="8"/>
        <item x="1"/>
        <item h="1" x="5"/>
        <item x="4"/>
        <item h="1" x="2"/>
        <item h="1" x="3"/>
        <item h="1" x="6"/>
        <item t="default"/>
      </items>
    </pivotField>
    <pivotField axis="axisPage" multipleItemSelectionAllowed="1" showAll="0">
      <items count="6">
        <item x="1"/>
        <item h="1" x="4"/>
        <item x="0"/>
        <item x="3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4"/>
  </rowFields>
  <rowItems count="11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 t="grand">
      <x/>
    </i>
  </rowItems>
  <colFields count="1">
    <field x="3"/>
  </colFields>
  <colItems count="11">
    <i>
      <x v="3"/>
    </i>
    <i>
      <x v="4"/>
    </i>
    <i>
      <x v="6"/>
    </i>
    <i>
      <x v="7"/>
    </i>
    <i>
      <x v="10"/>
    </i>
    <i>
      <x v="11"/>
    </i>
    <i>
      <x v="13"/>
    </i>
    <i>
      <x v="16"/>
    </i>
    <i>
      <x v="17"/>
    </i>
    <i>
      <x v="18"/>
    </i>
    <i t="grand">
      <x/>
    </i>
  </colItems>
  <pageFields count="3">
    <pageField fld="2" hier="-1"/>
    <pageField fld="5" hier="-1"/>
    <pageField fld="6" hier="-1"/>
  </pageFields>
  <dataFields count="1">
    <dataField name="Sum of NG Cons (High) BCFD" fld="14" baseField="4" baseItem="0"/>
  </dataFields>
  <formats count="13">
    <format dxfId="61">
      <pivotArea outline="0" collapsedLevelsAreSubtotals="1" fieldPosition="0"/>
    </format>
    <format dxfId="59">
      <pivotArea dataOnly="0" labelOnly="1" outline="0" fieldPosition="0">
        <references count="2">
          <reference field="4294967294" count="1">
            <x v="0"/>
          </reference>
          <reference field="3" count="1" selected="0">
            <x v="3"/>
          </reference>
        </references>
      </pivotArea>
    </format>
    <format dxfId="58">
      <pivotArea dataOnly="0" labelOnly="1" outline="0" fieldPosition="0">
        <references count="2">
          <reference field="4294967294" count="1">
            <x v="0"/>
          </reference>
          <reference field="3" count="1" selected="0">
            <x v="4"/>
          </reference>
        </references>
      </pivotArea>
    </format>
    <format dxfId="57">
      <pivotArea dataOnly="0" labelOnly="1" outline="0" fieldPosition="0">
        <references count="2">
          <reference field="4294967294" count="1">
            <x v="0"/>
          </reference>
          <reference field="3" count="1" selected="0">
            <x v="6"/>
          </reference>
        </references>
      </pivotArea>
    </format>
    <format dxfId="56">
      <pivotArea dataOnly="0" labelOnly="1" outline="0" fieldPosition="0">
        <references count="2">
          <reference field="4294967294" count="1">
            <x v="0"/>
          </reference>
          <reference field="3" count="1" selected="0">
            <x v="7"/>
          </reference>
        </references>
      </pivotArea>
    </format>
    <format dxfId="55">
      <pivotArea dataOnly="0" labelOnly="1" outline="0" fieldPosition="0">
        <references count="2">
          <reference field="4294967294" count="1">
            <x v="0"/>
          </reference>
          <reference field="3" count="1" selected="0">
            <x v="10"/>
          </reference>
        </references>
      </pivotArea>
    </format>
    <format dxfId="54">
      <pivotArea dataOnly="0" labelOnly="1" outline="0" fieldPosition="0">
        <references count="2">
          <reference field="4294967294" count="1">
            <x v="0"/>
          </reference>
          <reference field="3" count="1" selected="0">
            <x v="11"/>
          </reference>
        </references>
      </pivotArea>
    </format>
    <format dxfId="53">
      <pivotArea dataOnly="0" labelOnly="1" outline="0" fieldPosition="0">
        <references count="2">
          <reference field="4294967294" count="1">
            <x v="0"/>
          </reference>
          <reference field="3" count="1" selected="0">
            <x v="13"/>
          </reference>
        </references>
      </pivotArea>
    </format>
    <format dxfId="52">
      <pivotArea dataOnly="0" labelOnly="1" outline="0" fieldPosition="0">
        <references count="2">
          <reference field="4294967294" count="1">
            <x v="0"/>
          </reference>
          <reference field="3" count="1" selected="0">
            <x v="14"/>
          </reference>
        </references>
      </pivotArea>
    </format>
    <format dxfId="51">
      <pivotArea dataOnly="0" labelOnly="1" outline="0" fieldPosition="0">
        <references count="2">
          <reference field="4294967294" count="1">
            <x v="0"/>
          </reference>
          <reference field="3" count="1" selected="0">
            <x v="16"/>
          </reference>
        </references>
      </pivotArea>
    </format>
    <format dxfId="50">
      <pivotArea dataOnly="0" labelOnly="1" outline="0" fieldPosition="0">
        <references count="2">
          <reference field="4294967294" count="1">
            <x v="0"/>
          </reference>
          <reference field="3" count="1" selected="0">
            <x v="17"/>
          </reference>
        </references>
      </pivotArea>
    </format>
    <format dxfId="49">
      <pivotArea dataOnly="0" labelOnly="1" outline="0" fieldPosition="0">
        <references count="2">
          <reference field="4294967294" count="1">
            <x v="0"/>
          </reference>
          <reference field="3" count="1" selected="0">
            <x v="18"/>
          </reference>
        </references>
      </pivotArea>
    </format>
    <format dxfId="47">
      <pivotArea field="3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</formats>
  <chartFormats count="11"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4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6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7"/>
          </reference>
        </references>
      </pivotArea>
    </chartFormat>
    <chartFormat chart="0" format="2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3" cacheId="23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2">
  <location ref="A5:L31" firstHeaderRow="1" firstDataRow="2" firstDataCol="1" rowPageCount="3" colPageCount="1"/>
  <pivotFields count="15">
    <pivotField showAll="0"/>
    <pivotField showAll="0"/>
    <pivotField axis="axisRow" showAll="0">
      <items count="38">
        <item x="0"/>
        <item x="5"/>
        <item x="6"/>
        <item x="20"/>
        <item x="28"/>
        <item x="23"/>
        <item x="14"/>
        <item x="16"/>
        <item x="8"/>
        <item x="30"/>
        <item x="2"/>
        <item x="10"/>
        <item x="26"/>
        <item x="29"/>
        <item x="11"/>
        <item x="24"/>
        <item x="3"/>
        <item x="21"/>
        <item x="18"/>
        <item x="17"/>
        <item x="12"/>
        <item x="27"/>
        <item x="22"/>
        <item x="34"/>
        <item x="33"/>
        <item x="1"/>
        <item x="19"/>
        <item x="32"/>
        <item x="15"/>
        <item x="13"/>
        <item x="9"/>
        <item x="4"/>
        <item x="35"/>
        <item x="31"/>
        <item x="25"/>
        <item x="7"/>
        <item x="36"/>
        <item t="default"/>
      </items>
    </pivotField>
    <pivotField axis="axisCol" showAll="0">
      <items count="23">
        <item h="1" x="7"/>
        <item h="1" x="0"/>
        <item h="1" x="1"/>
        <item x="17"/>
        <item x="6"/>
        <item h="1" x="21"/>
        <item x="13"/>
        <item x="5"/>
        <item h="1" x="2"/>
        <item h="1" x="3"/>
        <item x="15"/>
        <item x="20"/>
        <item h="1" x="12"/>
        <item x="4"/>
        <item x="9"/>
        <item h="1" x="14"/>
        <item h="1" x="19"/>
        <item x="8"/>
        <item x="10"/>
        <item h="1" x="16"/>
        <item h="1" x="18"/>
        <item h="1" x="11"/>
        <item t="default"/>
      </items>
    </pivotField>
    <pivotField axis="axisPage" multipleItemSelectionAllowed="1" showAll="0">
      <items count="14">
        <item x="7"/>
        <item x="0"/>
        <item x="6"/>
        <item x="3"/>
        <item x="1"/>
        <item x="10"/>
        <item x="5"/>
        <item x="4"/>
        <item x="8"/>
        <item x="12"/>
        <item x="11"/>
        <item h="1" x="2"/>
        <item h="1" x="9"/>
        <item t="default"/>
      </items>
    </pivotField>
    <pivotField axis="axisPage" multipleItemSelectionAllowed="1" showAll="0">
      <items count="10">
        <item h="1" x="7"/>
        <item x="0"/>
        <item x="8"/>
        <item x="1"/>
        <item h="1" x="5"/>
        <item x="4"/>
        <item h="1" x="2"/>
        <item h="1" x="3"/>
        <item h="1" x="6"/>
        <item t="default"/>
      </items>
    </pivotField>
    <pivotField axis="axisPage" multipleItemSelectionAllowed="1" showAll="0">
      <items count="6">
        <item x="1"/>
        <item h="1" x="4"/>
        <item x="0"/>
        <item x="3"/>
        <item x="2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25">
    <i>
      <x v="1"/>
    </i>
    <i>
      <x v="2"/>
    </i>
    <i>
      <x v="4"/>
    </i>
    <i>
      <x v="5"/>
    </i>
    <i>
      <x v="8"/>
    </i>
    <i>
      <x v="9"/>
    </i>
    <i>
      <x v="10"/>
    </i>
    <i>
      <x v="11"/>
    </i>
    <i>
      <x v="12"/>
    </i>
    <i>
      <x v="13"/>
    </i>
    <i>
      <x v="14"/>
    </i>
    <i>
      <x v="18"/>
    </i>
    <i>
      <x v="20"/>
    </i>
    <i>
      <x v="21"/>
    </i>
    <i>
      <x v="24"/>
    </i>
    <i>
      <x v="25"/>
    </i>
    <i>
      <x v="26"/>
    </i>
    <i>
      <x v="27"/>
    </i>
    <i>
      <x v="29"/>
    </i>
    <i>
      <x v="30"/>
    </i>
    <i>
      <x v="31"/>
    </i>
    <i>
      <x v="33"/>
    </i>
    <i>
      <x v="35"/>
    </i>
    <i>
      <x v="36"/>
    </i>
    <i t="grand">
      <x/>
    </i>
  </rowItems>
  <colFields count="1">
    <field x="3"/>
  </colFields>
  <colItems count="11">
    <i>
      <x v="3"/>
    </i>
    <i>
      <x v="4"/>
    </i>
    <i>
      <x v="6"/>
    </i>
    <i>
      <x v="7"/>
    </i>
    <i>
      <x v="10"/>
    </i>
    <i>
      <x v="11"/>
    </i>
    <i>
      <x v="13"/>
    </i>
    <i>
      <x v="14"/>
    </i>
    <i>
      <x v="17"/>
    </i>
    <i>
      <x v="18"/>
    </i>
    <i t="grand">
      <x/>
    </i>
  </colItems>
  <pageFields count="3">
    <pageField fld="4" hier="-1"/>
    <pageField fld="5" hier="-1"/>
    <pageField fld="6" hier="-1"/>
  </pageFields>
  <dataFields count="1">
    <dataField name="Sum of Investment $" fld="7" baseField="2" baseItem="2" numFmtId="166"/>
  </dataFields>
  <formats count="1">
    <format dxfId="1">
      <pivotArea outline="0" collapsedLevelsAreSubtotals="1" fieldPosition="0"/>
    </format>
  </formats>
  <chartFormats count="10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4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7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4" name="Table4" displayName="Table4" ref="A1:O287" totalsRowShown="0" headerRowDxfId="104" dataDxfId="71" totalsRowDxfId="102" tableBorderDxfId="103">
  <autoFilter ref="A1:O287"/>
  <tableColumns count="15">
    <tableColumn id="1" name="Company" dataDxfId="86" totalsRowDxfId="101"/>
    <tableColumn id="3" name="City" dataDxfId="85" totalsRowDxfId="100"/>
    <tableColumn id="27" name="State" dataDxfId="84" totalsRowDxfId="99">
      <calculatedColumnFormula>+RIGHT(Table4[[#This Row],[City]],2)</calculatedColumnFormula>
    </tableColumn>
    <tableColumn id="2" name="Plant Type" dataDxfId="83" totalsRowDxfId="98"/>
    <tableColumn id="17" name="Startup Date" dataDxfId="82" totalsRowDxfId="97" dataCellStyle="Comma"/>
    <tableColumn id="4" name="Project Status" dataDxfId="81" totalsRowDxfId="96"/>
    <tableColumn id="20" name="Project Type" dataDxfId="80" totalsRowDxfId="95"/>
    <tableColumn id="5" name="Investment $" dataDxfId="79" totalsRowDxfId="94" dataCellStyle="Currency"/>
    <tableColumn id="9" name="Capacity" dataDxfId="78" totalsRowDxfId="93" dataCellStyle="Comma"/>
    <tableColumn id="10" name="Unit" dataDxfId="77" totalsRowDxfId="92" dataCellStyle="Comma"/>
    <tableColumn id="24" name="Utilization" dataDxfId="76" totalsRowDxfId="91" dataCellStyle="Comma"/>
    <tableColumn id="11" name="NG Cons (Low) MMBTU" dataDxfId="75" totalsRowDxfId="90" dataCellStyle="Comma"/>
    <tableColumn id="12" name="NG Cons (Low) BCFD" dataDxfId="74" totalsRowDxfId="89">
      <calculatedColumnFormula>Table4[[#This Row],[NG Cons (Low) MMBTU]]/1000/1000/365</calculatedColumnFormula>
    </tableColumn>
    <tableColumn id="15" name="NG Cons (High) MMBTU" dataDxfId="73" totalsRowDxfId="88" dataCellStyle="Comma"/>
    <tableColumn id="16" name="NG Cons (High) BCFD" dataDxfId="72" totalsRowDxfId="8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energyecon@beg.utexas.ed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tabSelected="1" workbookViewId="0">
      <selection activeCell="P20" sqref="P20"/>
    </sheetView>
  </sheetViews>
  <sheetFormatPr defaultRowHeight="18" x14ac:dyDescent="0.35"/>
  <cols>
    <col min="1" max="16384" width="8.88671875" style="54"/>
  </cols>
  <sheetData>
    <row r="1" spans="1:1" x14ac:dyDescent="0.35">
      <c r="A1" s="53" t="s">
        <v>416</v>
      </c>
    </row>
    <row r="2" spans="1:1" x14ac:dyDescent="0.35">
      <c r="A2" s="54" t="s">
        <v>414</v>
      </c>
    </row>
    <row r="3" spans="1:1" x14ac:dyDescent="0.35">
      <c r="A3" s="54" t="s">
        <v>426</v>
      </c>
    </row>
    <row r="4" spans="1:1" x14ac:dyDescent="0.35">
      <c r="A4" s="54" t="s">
        <v>427</v>
      </c>
    </row>
    <row r="5" spans="1:1" x14ac:dyDescent="0.35">
      <c r="A5" s="54" t="s">
        <v>428</v>
      </c>
    </row>
    <row r="6" spans="1:1" x14ac:dyDescent="0.35">
      <c r="A6" s="54" t="s">
        <v>415</v>
      </c>
    </row>
    <row r="8" spans="1:1" x14ac:dyDescent="0.35">
      <c r="A8" s="53" t="s">
        <v>430</v>
      </c>
    </row>
    <row r="9" spans="1:1" x14ac:dyDescent="0.35">
      <c r="A9" s="54" t="s">
        <v>429</v>
      </c>
    </row>
    <row r="10" spans="1:1" x14ac:dyDescent="0.35">
      <c r="A10" s="54" t="s">
        <v>417</v>
      </c>
    </row>
    <row r="11" spans="1:1" x14ac:dyDescent="0.35">
      <c r="A11" s="54" t="s">
        <v>424</v>
      </c>
    </row>
    <row r="13" spans="1:1" x14ac:dyDescent="0.35">
      <c r="A13" s="53" t="s">
        <v>418</v>
      </c>
    </row>
    <row r="14" spans="1:1" x14ac:dyDescent="0.35">
      <c r="A14" s="54" t="s">
        <v>419</v>
      </c>
    </row>
    <row r="15" spans="1:1" x14ac:dyDescent="0.35">
      <c r="A15" s="54" t="s">
        <v>420</v>
      </c>
    </row>
    <row r="16" spans="1:1" x14ac:dyDescent="0.35">
      <c r="A16" s="54" t="s">
        <v>432</v>
      </c>
    </row>
    <row r="17" spans="1:1" x14ac:dyDescent="0.35">
      <c r="A17" s="55" t="s">
        <v>421</v>
      </c>
    </row>
    <row r="19" spans="1:1" x14ac:dyDescent="0.35">
      <c r="A19" s="54" t="s">
        <v>422</v>
      </c>
    </row>
    <row r="20" spans="1:1" x14ac:dyDescent="0.35">
      <c r="A20" s="56" t="s">
        <v>423</v>
      </c>
    </row>
  </sheetData>
  <hyperlinks>
    <hyperlink ref="A20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308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141" sqref="F141"/>
    </sheetView>
  </sheetViews>
  <sheetFormatPr defaultColWidth="9.109375" defaultRowHeight="14.4" x14ac:dyDescent="0.3"/>
  <cols>
    <col min="1" max="1" width="30.33203125" style="5" customWidth="1"/>
    <col min="2" max="2" width="27.21875" customWidth="1"/>
    <col min="3" max="3" width="9.109375" style="6"/>
    <col min="4" max="4" width="14.6640625" style="5" customWidth="1"/>
    <col min="5" max="5" width="11" style="5" bestFit="1" customWidth="1"/>
    <col min="6" max="6" width="12.44140625" style="5" customWidth="1"/>
    <col min="7" max="7" width="12.33203125" style="5" customWidth="1"/>
    <col min="8" max="8" width="19.33203125" style="8" bestFit="1" customWidth="1"/>
    <col min="9" max="9" width="13.6640625" style="8" customWidth="1"/>
    <col min="10" max="10" width="7.6640625" style="5" customWidth="1"/>
    <col min="11" max="11" width="12.77734375" style="3" customWidth="1"/>
    <col min="12" max="12" width="17.77734375" style="8" customWidth="1"/>
    <col min="13" max="13" width="17.77734375" style="5" customWidth="1"/>
    <col min="14" max="14" width="17.77734375" style="8" customWidth="1"/>
    <col min="15" max="15" width="17.77734375" style="5" customWidth="1"/>
    <col min="17" max="16384" width="9.109375" style="6"/>
  </cols>
  <sheetData>
    <row r="1" spans="1:16" ht="37.5" customHeight="1" x14ac:dyDescent="0.35">
      <c r="A1" s="9" t="s">
        <v>398</v>
      </c>
      <c r="B1" s="10" t="s">
        <v>388</v>
      </c>
      <c r="C1" s="26" t="s">
        <v>389</v>
      </c>
      <c r="D1" s="10" t="s">
        <v>346</v>
      </c>
      <c r="E1" s="10" t="s">
        <v>165</v>
      </c>
      <c r="F1" s="10" t="s">
        <v>151</v>
      </c>
      <c r="G1" s="10" t="s">
        <v>152</v>
      </c>
      <c r="H1" s="11" t="s">
        <v>153</v>
      </c>
      <c r="I1" s="11" t="s">
        <v>263</v>
      </c>
      <c r="J1" s="10" t="s">
        <v>392</v>
      </c>
      <c r="K1" s="12" t="s">
        <v>393</v>
      </c>
      <c r="L1" s="11" t="s">
        <v>394</v>
      </c>
      <c r="M1" s="11" t="s">
        <v>395</v>
      </c>
      <c r="N1" s="11" t="s">
        <v>396</v>
      </c>
      <c r="O1" s="11" t="s">
        <v>397</v>
      </c>
      <c r="P1" s="6"/>
    </row>
    <row r="2" spans="1:16" ht="15.75" customHeight="1" x14ac:dyDescent="0.3">
      <c r="A2" s="29" t="s">
        <v>351</v>
      </c>
      <c r="B2" s="29"/>
      <c r="C2" s="30" t="str">
        <f>+RIGHT(Table4[[#This Row],[City]],2)</f>
        <v/>
      </c>
      <c r="D2" s="29" t="s">
        <v>248</v>
      </c>
      <c r="E2" s="29">
        <v>2013</v>
      </c>
      <c r="F2" s="29" t="s">
        <v>69</v>
      </c>
      <c r="G2" s="29" t="s">
        <v>1</v>
      </c>
      <c r="H2" s="38">
        <v>0</v>
      </c>
      <c r="I2" s="34">
        <v>0</v>
      </c>
      <c r="J2" s="29"/>
      <c r="K2" s="40">
        <v>1</v>
      </c>
      <c r="L2" s="34">
        <f>7223835000*Table4[[#This Row],[Utilization]]</f>
        <v>7223835000</v>
      </c>
      <c r="M2" s="35">
        <f>Table4[[#This Row],[NG Cons (Low) MMBTU]]/1000/1000/365</f>
        <v>19.791328767123289</v>
      </c>
      <c r="N2" s="34">
        <f>Table4[[#This Row],[NG Cons (Low) MMBTU]]</f>
        <v>7223835000</v>
      </c>
      <c r="O2" s="35">
        <f>Table4[[#This Row],[NG Cons (High) MMBTU]]/1000/1000/365</f>
        <v>19.791328767123289</v>
      </c>
      <c r="P2" s="6"/>
    </row>
    <row r="3" spans="1:16" s="36" customFormat="1" ht="15.75" customHeight="1" x14ac:dyDescent="0.3">
      <c r="A3" s="29" t="s">
        <v>351</v>
      </c>
      <c r="B3" s="29"/>
      <c r="C3" s="30" t="str">
        <f>+RIGHT(Table4[[#This Row],[City]],2)</f>
        <v/>
      </c>
      <c r="D3" s="29" t="s">
        <v>384</v>
      </c>
      <c r="E3" s="29">
        <v>2016</v>
      </c>
      <c r="F3" s="29" t="s">
        <v>69</v>
      </c>
      <c r="G3" s="29" t="s">
        <v>1</v>
      </c>
      <c r="H3" s="31">
        <v>0</v>
      </c>
      <c r="I3" s="32">
        <v>0</v>
      </c>
      <c r="J3" s="32"/>
      <c r="K3" s="33">
        <v>1</v>
      </c>
      <c r="L3" s="34">
        <f>7.724745*1020000000</f>
        <v>7879239900</v>
      </c>
      <c r="M3" s="35">
        <f>Table4[[#This Row],[NG Cons (Low) MMBTU]]/1000/1000/365</f>
        <v>21.586958630136987</v>
      </c>
      <c r="N3" s="34">
        <f>Table4[[#This Row],[NG Cons (Low) MMBTU]]</f>
        <v>7879239900</v>
      </c>
      <c r="O3" s="35">
        <f>Table4[[#This Row],[NG Cons (High) MMBTU]]/1000/1000/365</f>
        <v>21.586958630136987</v>
      </c>
    </row>
    <row r="4" spans="1:16" ht="15.75" customHeight="1" x14ac:dyDescent="0.3">
      <c r="A4" s="29" t="s">
        <v>35</v>
      </c>
      <c r="B4" s="29" t="s">
        <v>34</v>
      </c>
      <c r="C4" s="30" t="s">
        <v>387</v>
      </c>
      <c r="D4" s="29" t="s">
        <v>168</v>
      </c>
      <c r="E4" s="29">
        <v>2013</v>
      </c>
      <c r="F4" s="29" t="s">
        <v>0</v>
      </c>
      <c r="G4" s="29" t="s">
        <v>1</v>
      </c>
      <c r="H4" s="38">
        <v>270000000</v>
      </c>
      <c r="I4" s="34"/>
      <c r="J4" s="29"/>
      <c r="K4" s="40"/>
      <c r="L4" s="34"/>
      <c r="M4" s="35"/>
      <c r="N4" s="34"/>
      <c r="O4" s="35"/>
      <c r="P4" s="6"/>
    </row>
    <row r="5" spans="1:16" ht="15.75" customHeight="1" x14ac:dyDescent="0.3">
      <c r="A5" s="29" t="s">
        <v>316</v>
      </c>
      <c r="B5" s="29" t="s">
        <v>317</v>
      </c>
      <c r="C5" s="30" t="str">
        <f>+RIGHT(Table4[[#This Row],[City]],2)</f>
        <v>IL</v>
      </c>
      <c r="D5" s="29" t="s">
        <v>40</v>
      </c>
      <c r="E5" s="37" t="s">
        <v>37</v>
      </c>
      <c r="F5" s="29" t="s">
        <v>84</v>
      </c>
      <c r="G5" s="29" t="s">
        <v>1</v>
      </c>
      <c r="H5" s="38">
        <v>1900000</v>
      </c>
      <c r="I5" s="34"/>
      <c r="J5" s="39"/>
      <c r="K5" s="40">
        <v>0.76</v>
      </c>
      <c r="L5" s="34"/>
      <c r="M5" s="35"/>
      <c r="N5" s="34"/>
      <c r="O5" s="35">
        <f>Table4[[#This Row],[NG Cons (High) MMBTU]]/1000/1000/365</f>
        <v>0</v>
      </c>
      <c r="P5" s="6"/>
    </row>
    <row r="6" spans="1:16" s="36" customFormat="1" ht="15.75" customHeight="1" x14ac:dyDescent="0.3">
      <c r="A6" s="29" t="s">
        <v>85</v>
      </c>
      <c r="B6" s="29" t="s">
        <v>175</v>
      </c>
      <c r="C6" s="30" t="s">
        <v>175</v>
      </c>
      <c r="D6" s="29" t="s">
        <v>312</v>
      </c>
      <c r="E6" s="37" t="s">
        <v>37</v>
      </c>
      <c r="F6" s="29" t="s">
        <v>253</v>
      </c>
      <c r="G6" s="29" t="s">
        <v>1</v>
      </c>
      <c r="H6" s="38">
        <v>3000000000</v>
      </c>
      <c r="I6" s="34">
        <v>1800000</v>
      </c>
      <c r="J6" s="39" t="s">
        <v>38</v>
      </c>
      <c r="K6" s="40">
        <v>0.76</v>
      </c>
      <c r="L6" s="34">
        <f>Table4[[#This Row],[Capacity]]*30.87*Table4[[#This Row],[Utilization]]</f>
        <v>42230160</v>
      </c>
      <c r="M6" s="35">
        <f>Table4[[#This Row],[NG Cons (Low) MMBTU]]/1000/1000/365</f>
        <v>0.1156990684931507</v>
      </c>
      <c r="N6" s="34">
        <f>Table4[[#This Row],[Capacity]]*36.58</f>
        <v>65844000</v>
      </c>
      <c r="O6" s="35">
        <f>Table4[[#This Row],[NG Cons (High) MMBTU]]/1000/1000/365</f>
        <v>0.18039452054794519</v>
      </c>
    </row>
    <row r="7" spans="1:16" s="36" customFormat="1" ht="15.75" customHeight="1" x14ac:dyDescent="0.3">
      <c r="A7" s="29" t="s">
        <v>85</v>
      </c>
      <c r="B7" s="29" t="s">
        <v>176</v>
      </c>
      <c r="C7" s="30" t="str">
        <f>+RIGHT(Table4[[#This Row],[City]],2)</f>
        <v>TX</v>
      </c>
      <c r="D7" s="29" t="s">
        <v>312</v>
      </c>
      <c r="E7" s="29">
        <v>2015</v>
      </c>
      <c r="F7" s="29" t="s">
        <v>69</v>
      </c>
      <c r="G7" s="29" t="s">
        <v>5</v>
      </c>
      <c r="H7" s="38">
        <v>720000000</v>
      </c>
      <c r="I7" s="34">
        <v>610000</v>
      </c>
      <c r="J7" s="39" t="s">
        <v>38</v>
      </c>
      <c r="K7" s="40">
        <v>0.76</v>
      </c>
      <c r="L7" s="34">
        <f>Table4[[#This Row],[Capacity]]*30.87*Table4[[#This Row],[Utilization]]</f>
        <v>14311332</v>
      </c>
      <c r="M7" s="35">
        <f>Table4[[#This Row],[NG Cons (Low) MMBTU]]/1000/1000/365</f>
        <v>3.9209128767123291E-2</v>
      </c>
      <c r="N7" s="34">
        <f>Table4[[#This Row],[Capacity]]*36.58</f>
        <v>22313800</v>
      </c>
      <c r="O7" s="35">
        <f>Table4[[#This Row],[NG Cons (High) MMBTU]]/1000/1000/365</f>
        <v>6.1133698630136984E-2</v>
      </c>
    </row>
    <row r="8" spans="1:16" s="36" customFormat="1" ht="15.75" customHeight="1" x14ac:dyDescent="0.3">
      <c r="A8" s="41" t="s">
        <v>85</v>
      </c>
      <c r="B8" s="41" t="s">
        <v>355</v>
      </c>
      <c r="C8" s="30" t="str">
        <f>+RIGHT(Table4[[#This Row],[City]],2)</f>
        <v>AK</v>
      </c>
      <c r="D8" s="41" t="s">
        <v>312</v>
      </c>
      <c r="E8" s="41">
        <v>2019</v>
      </c>
      <c r="F8" s="41" t="s">
        <v>110</v>
      </c>
      <c r="G8" s="41" t="s">
        <v>57</v>
      </c>
      <c r="H8" s="42">
        <v>250000000</v>
      </c>
      <c r="I8" s="43">
        <v>650000</v>
      </c>
      <c r="J8" s="44" t="s">
        <v>38</v>
      </c>
      <c r="K8" s="45">
        <v>0.76</v>
      </c>
      <c r="L8" s="44">
        <f>0.08*1000*1000*365</f>
        <v>29200000</v>
      </c>
      <c r="M8" s="46">
        <f>+Table4[[#This Row],[NG Cons (Low) MMBTU]]/1000/1000/365</f>
        <v>0.08</v>
      </c>
      <c r="N8" s="44">
        <f>0.08*1000*1000*365</f>
        <v>29200000</v>
      </c>
      <c r="O8" s="46">
        <f>+Table4[[#This Row],[NG Cons (High) MMBTU]]/1000/1000/365</f>
        <v>0.08</v>
      </c>
    </row>
    <row r="9" spans="1:16" ht="15.75" customHeight="1" x14ac:dyDescent="0.3">
      <c r="A9" s="47" t="s">
        <v>271</v>
      </c>
      <c r="B9" s="47" t="s">
        <v>162</v>
      </c>
      <c r="C9" s="30" t="str">
        <f>+RIGHT(Table4[[#This Row],[City]],2)</f>
        <v>TX</v>
      </c>
      <c r="D9" s="47" t="s">
        <v>265</v>
      </c>
      <c r="E9" s="57">
        <v>2015</v>
      </c>
      <c r="F9" s="47" t="s">
        <v>84</v>
      </c>
      <c r="G9" s="47" t="s">
        <v>1</v>
      </c>
      <c r="H9" s="38">
        <f>Table4[[#This Row],[Capacity]]/90*55000000</f>
        <v>24444444.444444444</v>
      </c>
      <c r="I9" s="48">
        <v>40</v>
      </c>
      <c r="J9" s="47" t="s">
        <v>266</v>
      </c>
      <c r="K9" s="49">
        <v>0.76</v>
      </c>
      <c r="L9" s="48">
        <f>Table4[[#This Row],[Capacity]]*1000*365*0.443</f>
        <v>6467800</v>
      </c>
      <c r="M9" s="50">
        <f>Table4[[#This Row],[NG Cons (Low) MMBTU]]/1000/1000/365</f>
        <v>1.772E-2</v>
      </c>
      <c r="N9" s="48">
        <f>Table4[[#This Row],[NG Cons (Low) MMBTU]]</f>
        <v>6467800</v>
      </c>
      <c r="O9" s="50">
        <f>Table4[[#This Row],[NG Cons (High) MMBTU]]/1000/1000/365</f>
        <v>1.772E-2</v>
      </c>
      <c r="P9" s="6"/>
    </row>
    <row r="10" spans="1:16" s="36" customFormat="1" ht="15.75" customHeight="1" x14ac:dyDescent="0.3">
      <c r="A10" s="29" t="s">
        <v>271</v>
      </c>
      <c r="B10" s="29" t="s">
        <v>128</v>
      </c>
      <c r="C10" s="30" t="str">
        <f>+RIGHT(Table4[[#This Row],[City]],2)</f>
        <v>TX</v>
      </c>
      <c r="D10" s="29" t="s">
        <v>265</v>
      </c>
      <c r="E10" s="39">
        <v>2018</v>
      </c>
      <c r="F10" s="29" t="s">
        <v>0</v>
      </c>
      <c r="G10" s="29" t="s">
        <v>1</v>
      </c>
      <c r="H10" s="38">
        <v>400000000</v>
      </c>
      <c r="I10" s="34">
        <v>125</v>
      </c>
      <c r="J10" s="39" t="s">
        <v>266</v>
      </c>
      <c r="K10" s="40">
        <v>0.76</v>
      </c>
      <c r="L10" s="34">
        <f>Table4[[#This Row],[Capacity]]*1000*365*0.443*Table4[[#This Row],[Utilization]]</f>
        <v>15361025</v>
      </c>
      <c r="M10" s="35">
        <f>Table4[[#This Row],[NG Cons (Low) MMBTU]]/1000/1000/365</f>
        <v>4.2084999999999997E-2</v>
      </c>
      <c r="N10" s="34">
        <f>Table4[[#This Row],[Capacity]]*1000*365*0.48*Table4[[#This Row],[Utilization]]</f>
        <v>16644000</v>
      </c>
      <c r="O10" s="35">
        <f>Table4[[#This Row],[NG Cons (High) MMBTU]]/1000/1000/365</f>
        <v>4.5599999999999995E-2</v>
      </c>
    </row>
    <row r="11" spans="1:16" ht="15.75" customHeight="1" x14ac:dyDescent="0.3">
      <c r="A11" s="29" t="s">
        <v>22</v>
      </c>
      <c r="B11" s="29" t="s">
        <v>12</v>
      </c>
      <c r="C11" s="30" t="str">
        <f>+RIGHT(Table4[[#This Row],[City]],2)</f>
        <v>AL</v>
      </c>
      <c r="D11" s="29" t="s">
        <v>168</v>
      </c>
      <c r="E11" s="29">
        <v>2016</v>
      </c>
      <c r="F11" s="29" t="s">
        <v>69</v>
      </c>
      <c r="G11" s="29" t="s">
        <v>1</v>
      </c>
      <c r="H11" s="38">
        <v>600000000</v>
      </c>
      <c r="I11" s="34"/>
      <c r="J11" s="29"/>
      <c r="K11" s="40"/>
      <c r="L11" s="34"/>
      <c r="M11" s="35"/>
      <c r="N11" s="34"/>
      <c r="O11" s="35"/>
      <c r="P11" s="6"/>
    </row>
    <row r="12" spans="1:16" s="36" customFormat="1" ht="15.75" customHeight="1" x14ac:dyDescent="0.3">
      <c r="A12" s="29" t="s">
        <v>164</v>
      </c>
      <c r="B12" s="29" t="s">
        <v>356</v>
      </c>
      <c r="C12" s="30" t="str">
        <f>+RIGHT(Table4[[#This Row],[City]],2)</f>
        <v>WV</v>
      </c>
      <c r="D12" s="29" t="s">
        <v>315</v>
      </c>
      <c r="E12" s="29">
        <v>2016</v>
      </c>
      <c r="F12" s="29" t="s">
        <v>253</v>
      </c>
      <c r="G12" s="29" t="s">
        <v>1</v>
      </c>
      <c r="H12" s="38">
        <v>500000000</v>
      </c>
      <c r="I12" s="34">
        <v>272155</v>
      </c>
      <c r="J12" s="39" t="s">
        <v>38</v>
      </c>
      <c r="K12" s="40">
        <v>0.76</v>
      </c>
      <c r="L12" s="34">
        <f>19.3*Table4[[#This Row],[Capacity]]*Table4[[#This Row],[Utilization]]</f>
        <v>3991969.54</v>
      </c>
      <c r="M12" s="35">
        <f>Table4[[#This Row],[NG Cons (Low) MMBTU]]/1000/1000/365</f>
        <v>1.0936902849315068E-2</v>
      </c>
      <c r="N12" s="34">
        <f>Table4[[#This Row],[Capacity]]*30.87*Table4[[#This Row],[Utilization]]</f>
        <v>6385082.8859999999</v>
      </c>
      <c r="O12" s="35">
        <f>Table4[[#This Row],[NG Cons (High) MMBTU]]/1000/1000/365</f>
        <v>1.7493377769863015E-2</v>
      </c>
    </row>
    <row r="13" spans="1:16" s="36" customFormat="1" ht="15.75" customHeight="1" x14ac:dyDescent="0.3">
      <c r="A13" s="29" t="s">
        <v>48</v>
      </c>
      <c r="B13" s="29" t="s">
        <v>230</v>
      </c>
      <c r="C13" s="30" t="str">
        <f>+RIGHT(Table4[[#This Row],[City]],2)</f>
        <v>IA</v>
      </c>
      <c r="D13" s="29" t="s">
        <v>321</v>
      </c>
      <c r="E13" s="29">
        <v>2014</v>
      </c>
      <c r="F13" s="29" t="s">
        <v>69</v>
      </c>
      <c r="G13" s="29" t="s">
        <v>5</v>
      </c>
      <c r="H13" s="38">
        <v>300000000</v>
      </c>
      <c r="I13" s="34">
        <v>20000</v>
      </c>
      <c r="J13" s="39" t="s">
        <v>38</v>
      </c>
      <c r="K13" s="33">
        <v>0.79</v>
      </c>
      <c r="L13" s="34">
        <f>Table4[[#This Row],[Capacity]]*2.8665*Table4[[#This Row],[Utilization]]</f>
        <v>45290.700000000004</v>
      </c>
      <c r="M13" s="35">
        <f>Table4[[#This Row],[NG Cons (Low) MMBTU]]/1000/1000/365</f>
        <v>1.240841095890411E-4</v>
      </c>
      <c r="N13" s="34">
        <f>Table4[[#This Row],[NG Cons (Low) MMBTU]]</f>
        <v>45290.700000000004</v>
      </c>
      <c r="O13" s="35">
        <f>Table4[[#This Row],[NG Cons (High) MMBTU]]/1000/1000/365</f>
        <v>1.240841095890411E-4</v>
      </c>
    </row>
    <row r="14" spans="1:16" s="36" customFormat="1" ht="15.75" customHeight="1" x14ac:dyDescent="0.3">
      <c r="A14" s="29" t="s">
        <v>48</v>
      </c>
      <c r="B14" s="29" t="s">
        <v>231</v>
      </c>
      <c r="C14" s="30" t="str">
        <f>+RIGHT(Table4[[#This Row],[City]],2)</f>
        <v>TN</v>
      </c>
      <c r="D14" s="29" t="s">
        <v>321</v>
      </c>
      <c r="E14" s="29">
        <v>2015</v>
      </c>
      <c r="F14" s="29" t="s">
        <v>69</v>
      </c>
      <c r="G14" s="29" t="s">
        <v>5</v>
      </c>
      <c r="H14" s="38">
        <v>275000000</v>
      </c>
      <c r="I14" s="34">
        <v>20000</v>
      </c>
      <c r="J14" s="39" t="s">
        <v>38</v>
      </c>
      <c r="K14" s="33">
        <v>0.79</v>
      </c>
      <c r="L14" s="34">
        <f>Table4[[#This Row],[Capacity]]*2.8665*Table4[[#This Row],[Utilization]]</f>
        <v>45290.700000000004</v>
      </c>
      <c r="M14" s="35">
        <f>Table4[[#This Row],[NG Cons (Low) MMBTU]]/1000/1000/365</f>
        <v>1.240841095890411E-4</v>
      </c>
      <c r="N14" s="34">
        <f>Table4[[#This Row],[NG Cons (Low) MMBTU]]</f>
        <v>45290.700000000004</v>
      </c>
      <c r="O14" s="35">
        <f>Table4[[#This Row],[NG Cons (High) MMBTU]]/1000/1000/365</f>
        <v>1.240841095890411E-4</v>
      </c>
    </row>
    <row r="15" spans="1:16" s="36" customFormat="1" ht="15.75" customHeight="1" x14ac:dyDescent="0.3">
      <c r="A15" s="29" t="s">
        <v>48</v>
      </c>
      <c r="B15" s="29" t="s">
        <v>232</v>
      </c>
      <c r="C15" s="30" t="str">
        <f>+RIGHT(Table4[[#This Row],[City]],2)</f>
        <v>IN</v>
      </c>
      <c r="D15" s="29" t="s">
        <v>321</v>
      </c>
      <c r="E15" s="29">
        <v>2014</v>
      </c>
      <c r="F15" s="29" t="s">
        <v>69</v>
      </c>
      <c r="G15" s="29" t="s">
        <v>1</v>
      </c>
      <c r="H15" s="38">
        <v>90000000</v>
      </c>
      <c r="I15" s="34">
        <v>20000</v>
      </c>
      <c r="J15" s="39" t="s">
        <v>38</v>
      </c>
      <c r="K15" s="33">
        <v>0.79</v>
      </c>
      <c r="L15" s="34">
        <f>Table4[[#This Row],[Capacity]]*2.8665*Table4[[#This Row],[Utilization]]</f>
        <v>45290.700000000004</v>
      </c>
      <c r="M15" s="35">
        <f>Table4[[#This Row],[NG Cons (Low) MMBTU]]/1000/1000/365</f>
        <v>1.240841095890411E-4</v>
      </c>
      <c r="N15" s="34">
        <f>Table4[[#This Row],[NG Cons (Low) MMBTU]]</f>
        <v>45290.700000000004</v>
      </c>
      <c r="O15" s="35">
        <f>Table4[[#This Row],[NG Cons (High) MMBTU]]/1000/1000/365</f>
        <v>1.240841095890411E-4</v>
      </c>
    </row>
    <row r="16" spans="1:16" ht="15.75" customHeight="1" x14ac:dyDescent="0.3">
      <c r="A16" s="29" t="s">
        <v>294</v>
      </c>
      <c r="B16" s="29" t="s">
        <v>295</v>
      </c>
      <c r="C16" s="30" t="str">
        <f>+RIGHT(Table4[[#This Row],[City]],2)</f>
        <v>LA</v>
      </c>
      <c r="D16" s="29" t="s">
        <v>312</v>
      </c>
      <c r="E16" s="39">
        <v>2018</v>
      </c>
      <c r="F16" s="29" t="s">
        <v>84</v>
      </c>
      <c r="G16" s="29" t="s">
        <v>1</v>
      </c>
      <c r="H16" s="38">
        <v>1200000000</v>
      </c>
      <c r="I16" s="34">
        <f>922985</f>
        <v>922985</v>
      </c>
      <c r="J16" s="39" t="s">
        <v>38</v>
      </c>
      <c r="K16" s="40">
        <v>0.76</v>
      </c>
      <c r="L16" s="34">
        <f>Table4[[#This Row],[Capacity]]*30.87*Table4[[#This Row],[Utilization]]</f>
        <v>21654335.682</v>
      </c>
      <c r="M16" s="35">
        <f>Table4[[#This Row],[NG Cons (Low) MMBTU]]/1000/1000/365</f>
        <v>5.9326947073972604E-2</v>
      </c>
      <c r="N16" s="34">
        <f>Table4[[#This Row],[Capacity]]*36.58</f>
        <v>33762791.299999997</v>
      </c>
      <c r="O16" s="35">
        <f>Table4[[#This Row],[NG Cons (High) MMBTU]]/1000/1000/365</f>
        <v>9.2500798082191776E-2</v>
      </c>
      <c r="P16" s="6"/>
    </row>
    <row r="17" spans="1:16" s="51" customFormat="1" ht="15.75" customHeight="1" x14ac:dyDescent="0.3">
      <c r="A17" s="47" t="s">
        <v>123</v>
      </c>
      <c r="B17" s="47" t="s">
        <v>122</v>
      </c>
      <c r="C17" s="30" t="str">
        <f>+RIGHT(Table4[[#This Row],[City]],2)</f>
        <v>WV</v>
      </c>
      <c r="D17" s="47" t="s">
        <v>315</v>
      </c>
      <c r="E17" s="47">
        <v>2015</v>
      </c>
      <c r="F17" s="47" t="s">
        <v>253</v>
      </c>
      <c r="G17" s="47" t="s">
        <v>1</v>
      </c>
      <c r="H17" s="38">
        <v>400000000</v>
      </c>
      <c r="I17" s="48">
        <v>230424</v>
      </c>
      <c r="J17" s="47" t="s">
        <v>38</v>
      </c>
      <c r="K17" s="49">
        <v>0.76</v>
      </c>
      <c r="L17" s="48">
        <f>19.3*Table4[[#This Row],[Capacity]]*Table4[[#This Row],[Utilization]]</f>
        <v>3379859.2320000003</v>
      </c>
      <c r="M17" s="50">
        <f>Table4[[#This Row],[NG Cons (Low) MMBTU]]/1000/1000/365</f>
        <v>9.2598883068493159E-3</v>
      </c>
      <c r="N17" s="48">
        <f>Table4[[#This Row],[Capacity]]*30.87*Table4[[#This Row],[Utilization]]</f>
        <v>5406023.5488</v>
      </c>
      <c r="O17" s="50">
        <f>Table4[[#This Row],[NG Cons (High) MMBTU]]/1000/1000/365</f>
        <v>1.4811023421369862E-2</v>
      </c>
    </row>
    <row r="18" spans="1:16" ht="15.75" customHeight="1" x14ac:dyDescent="0.3">
      <c r="A18" s="47" t="s">
        <v>123</v>
      </c>
      <c r="B18" s="47" t="s">
        <v>122</v>
      </c>
      <c r="C18" s="30" t="str">
        <f>+RIGHT(Table4[[#This Row],[City]],2)</f>
        <v>WV</v>
      </c>
      <c r="D18" s="47" t="s">
        <v>120</v>
      </c>
      <c r="E18" s="47">
        <v>2015</v>
      </c>
      <c r="F18" s="47" t="s">
        <v>84</v>
      </c>
      <c r="G18" s="47" t="s">
        <v>1</v>
      </c>
      <c r="H18" s="38">
        <f>444*I18</f>
        <v>100699200</v>
      </c>
      <c r="I18" s="48">
        <v>226800</v>
      </c>
      <c r="J18" s="47" t="s">
        <v>38</v>
      </c>
      <c r="K18" s="49">
        <v>0.76</v>
      </c>
      <c r="L18" s="48">
        <f>Table4[[#This Row],[Capacity]]*4.8*Table4[[#This Row],[Utilization]]</f>
        <v>827366.40000000002</v>
      </c>
      <c r="M18" s="50">
        <f>Table4[[#This Row],[NG Cons (Low) MMBTU]]/1000/1000/365</f>
        <v>2.2667572602739724E-3</v>
      </c>
      <c r="N18" s="48">
        <f>Table4[[#This Row],[NG Cons (Low) MMBTU]]</f>
        <v>827366.40000000002</v>
      </c>
      <c r="O18" s="50">
        <f>Table4[[#This Row],[NG Cons (High) MMBTU]]/1000/1000/365</f>
        <v>2.2667572602739724E-3</v>
      </c>
      <c r="P18" s="6"/>
    </row>
    <row r="19" spans="1:16" ht="16.5" customHeight="1" x14ac:dyDescent="0.3">
      <c r="A19" s="29" t="s">
        <v>282</v>
      </c>
      <c r="B19" s="29" t="s">
        <v>58</v>
      </c>
      <c r="C19" s="30" t="str">
        <f>+RIGHT(Table4[[#This Row],[City]],2)</f>
        <v>OH</v>
      </c>
      <c r="D19" s="29" t="s">
        <v>40</v>
      </c>
      <c r="E19" s="29">
        <v>2012</v>
      </c>
      <c r="F19" s="29" t="s">
        <v>247</v>
      </c>
      <c r="G19" s="29" t="s">
        <v>57</v>
      </c>
      <c r="H19" s="38">
        <v>4000000</v>
      </c>
      <c r="I19" s="34">
        <v>480000</v>
      </c>
      <c r="J19" s="39" t="s">
        <v>38</v>
      </c>
      <c r="K19" s="40">
        <v>0.76</v>
      </c>
      <c r="L19" s="34">
        <f>Table4[[#This Row],[Capacity]]*2</f>
        <v>960000</v>
      </c>
      <c r="M19" s="35">
        <f>Table4[[#This Row],[NG Cons (Low) MMBTU]]/1000/1000/365</f>
        <v>2.6301369863013699E-3</v>
      </c>
      <c r="N19" s="34">
        <f>Table4[[#This Row],[NG Cons (Low) MMBTU]]</f>
        <v>960000</v>
      </c>
      <c r="O19" s="35">
        <f>Table4[[#This Row],[NG Cons (High) MMBTU]]/1000/1000/365</f>
        <v>2.6301369863013699E-3</v>
      </c>
      <c r="P19" s="6"/>
    </row>
    <row r="20" spans="1:16" s="18" customFormat="1" ht="15.75" customHeight="1" x14ac:dyDescent="0.3">
      <c r="A20" s="29" t="s">
        <v>177</v>
      </c>
      <c r="B20" s="29" t="s">
        <v>178</v>
      </c>
      <c r="C20" s="30" t="str">
        <f>+RIGHT(Table4[[#This Row],[City]],2)</f>
        <v>TX</v>
      </c>
      <c r="D20" s="29" t="s">
        <v>4</v>
      </c>
      <c r="E20" s="29">
        <v>2013</v>
      </c>
      <c r="F20" s="29" t="s">
        <v>69</v>
      </c>
      <c r="G20" s="29" t="s">
        <v>5</v>
      </c>
      <c r="H20" s="38">
        <v>110000000</v>
      </c>
      <c r="I20" s="34"/>
      <c r="J20" s="39"/>
      <c r="K20" s="40">
        <v>0.76</v>
      </c>
      <c r="L20" s="34"/>
      <c r="M20" s="35">
        <f>Table4[[#This Row],[NG Cons (Low) MMBTU]]/1000/1000/365</f>
        <v>0</v>
      </c>
      <c r="N20" s="34"/>
      <c r="O20" s="35">
        <f>Table4[[#This Row],[NG Cons (High) MMBTU]]/1000/1000/365</f>
        <v>0</v>
      </c>
    </row>
    <row r="21" spans="1:16" s="36" customFormat="1" ht="15.75" customHeight="1" x14ac:dyDescent="0.3">
      <c r="A21" s="29" t="s">
        <v>179</v>
      </c>
      <c r="B21" s="29" t="s">
        <v>180</v>
      </c>
      <c r="C21" s="30" t="str">
        <f>+RIGHT(Table4[[#This Row],[City]],2)</f>
        <v>TX</v>
      </c>
      <c r="D21" s="29" t="s">
        <v>117</v>
      </c>
      <c r="E21" s="37">
        <v>2016</v>
      </c>
      <c r="F21" s="29" t="s">
        <v>253</v>
      </c>
      <c r="G21" s="29" t="s">
        <v>1</v>
      </c>
      <c r="H21" s="38">
        <v>1200000000</v>
      </c>
      <c r="I21" s="34">
        <v>907184.74</v>
      </c>
      <c r="J21" s="39" t="s">
        <v>38</v>
      </c>
      <c r="K21" s="40">
        <v>0.76</v>
      </c>
      <c r="L21" s="34">
        <f>Table4[[#This Row],[Capacity]]*6.615*Table4[[#This Row],[Utilization]]</f>
        <v>4560780.5618760008</v>
      </c>
      <c r="M21" s="35">
        <f>Table4[[#This Row],[NG Cons (Low) MMBTU]]/1000/1000/365</f>
        <v>1.2495289210619182E-2</v>
      </c>
      <c r="N21" s="34">
        <f>Table4[[#This Row],[Capacity]]*13.23*Table4[[#This Row],[Utilization]]</f>
        <v>9121561.1237520017</v>
      </c>
      <c r="O21" s="35">
        <f>Table4[[#This Row],[NG Cons (High) MMBTU]]/1000/1000/365</f>
        <v>2.4990578421238363E-2</v>
      </c>
    </row>
    <row r="22" spans="1:16" s="36" customFormat="1" ht="15.75" customHeight="1" x14ac:dyDescent="0.3">
      <c r="A22" s="29" t="s">
        <v>42</v>
      </c>
      <c r="B22" s="29" t="s">
        <v>2</v>
      </c>
      <c r="C22" s="30" t="str">
        <f>+RIGHT(Table4[[#This Row],[City]],2)</f>
        <v>LA</v>
      </c>
      <c r="D22" s="29" t="s">
        <v>4</v>
      </c>
      <c r="E22" s="37">
        <v>2016</v>
      </c>
      <c r="F22" s="29" t="s">
        <v>84</v>
      </c>
      <c r="G22" s="29" t="s">
        <v>1</v>
      </c>
      <c r="H22" s="38">
        <v>300000000</v>
      </c>
      <c r="I22" s="34"/>
      <c r="J22" s="29"/>
      <c r="K22" s="40">
        <v>0.76</v>
      </c>
      <c r="L22" s="34"/>
      <c r="M22" s="35"/>
      <c r="N22" s="34"/>
      <c r="O22" s="35"/>
    </row>
    <row r="23" spans="1:16" s="36" customFormat="1" ht="15.75" customHeight="1" x14ac:dyDescent="0.3">
      <c r="A23" s="29" t="s">
        <v>347</v>
      </c>
      <c r="B23" s="29" t="s">
        <v>79</v>
      </c>
      <c r="C23" s="30" t="str">
        <f>+RIGHT(Table4[[#This Row],[City]],2)</f>
        <v>LA</v>
      </c>
      <c r="D23" s="29" t="s">
        <v>315</v>
      </c>
      <c r="E23" s="37">
        <v>2019</v>
      </c>
      <c r="F23" s="29" t="s">
        <v>0</v>
      </c>
      <c r="G23" s="29" t="s">
        <v>1</v>
      </c>
      <c r="H23" s="38">
        <v>3000000000</v>
      </c>
      <c r="I23" s="34">
        <v>1000000</v>
      </c>
      <c r="J23" s="39" t="s">
        <v>38</v>
      </c>
      <c r="K23" s="40">
        <v>0.76</v>
      </c>
      <c r="L23" s="34">
        <f>19.3*Table4[[#This Row],[Capacity]]*Table4[[#This Row],[Utilization]]</f>
        <v>14668000</v>
      </c>
      <c r="M23" s="35">
        <f>Table4[[#This Row],[NG Cons (Low) MMBTU]]/1000/1000/365</f>
        <v>4.0186301369863009E-2</v>
      </c>
      <c r="N23" s="34">
        <f>Table4[[#This Row],[Capacity]]*30.87*Table4[[#This Row],[Utilization]]</f>
        <v>23461200</v>
      </c>
      <c r="O23" s="35">
        <f>Table4[[#This Row],[NG Cons (High) MMBTU]]/1000/1000/365</f>
        <v>6.4277260273972611E-2</v>
      </c>
    </row>
    <row r="24" spans="1:16" s="36" customFormat="1" ht="15.75" customHeight="1" x14ac:dyDescent="0.3">
      <c r="A24" s="29" t="s">
        <v>340</v>
      </c>
      <c r="B24" s="29" t="s">
        <v>349</v>
      </c>
      <c r="C24" s="30" t="s">
        <v>246</v>
      </c>
      <c r="D24" s="29" t="s">
        <v>120</v>
      </c>
      <c r="E24" s="47">
        <v>2019</v>
      </c>
      <c r="F24" s="29" t="s">
        <v>116</v>
      </c>
      <c r="G24" s="29" t="s">
        <v>1</v>
      </c>
      <c r="H24" s="31"/>
      <c r="I24" s="32"/>
      <c r="J24" s="32"/>
      <c r="K24" s="32"/>
      <c r="L24" s="32"/>
      <c r="M24" s="35">
        <f>Table4[[#This Row],[NG Cons (Low) MMBTU]]/1000/1000/365</f>
        <v>0</v>
      </c>
      <c r="N24" s="32"/>
      <c r="O24" s="35"/>
    </row>
    <row r="25" spans="1:16" s="36" customFormat="1" ht="15.75" customHeight="1" x14ac:dyDescent="0.3">
      <c r="A25" s="29" t="s">
        <v>340</v>
      </c>
      <c r="B25" s="29"/>
      <c r="C25" s="30" t="s">
        <v>390</v>
      </c>
      <c r="D25" s="29" t="s">
        <v>120</v>
      </c>
      <c r="E25" s="39">
        <v>2020</v>
      </c>
      <c r="F25" s="29" t="s">
        <v>84</v>
      </c>
      <c r="G25" s="29" t="s">
        <v>1</v>
      </c>
      <c r="H25" s="38">
        <v>6500000000</v>
      </c>
      <c r="I25" s="34">
        <v>1530000</v>
      </c>
      <c r="J25" s="39" t="s">
        <v>38</v>
      </c>
      <c r="K25" s="33">
        <v>0.76</v>
      </c>
      <c r="L25" s="34">
        <f>Table4[[#This Row],[Capacity]]*4.8*Table4[[#This Row],[Utilization]]</f>
        <v>5581440</v>
      </c>
      <c r="M25" s="35">
        <f>Table4[[#This Row],[NG Cons (Low) MMBTU]]/1000/1000/365</f>
        <v>1.5291616438356163E-2</v>
      </c>
      <c r="N25" s="34">
        <f>Table4[[#This Row],[NG Cons (Low) MMBTU]]</f>
        <v>5581440</v>
      </c>
      <c r="O25" s="35">
        <f>Table4[[#This Row],[NG Cons (High) MMBTU]]/1000/1000/365</f>
        <v>1.5291616438356163E-2</v>
      </c>
    </row>
    <row r="26" spans="1:16" ht="15.75" customHeight="1" x14ac:dyDescent="0.3">
      <c r="A26" s="29" t="s">
        <v>3</v>
      </c>
      <c r="B26" s="29" t="s">
        <v>73</v>
      </c>
      <c r="C26" s="30" t="str">
        <f>+RIGHT(Table4[[#This Row],[City]],2)</f>
        <v>TX</v>
      </c>
      <c r="D26" s="29" t="s">
        <v>4</v>
      </c>
      <c r="E26" s="29">
        <v>2014</v>
      </c>
      <c r="F26" s="29" t="s">
        <v>0</v>
      </c>
      <c r="G26" s="29" t="s">
        <v>1</v>
      </c>
      <c r="H26" s="38">
        <v>90000000</v>
      </c>
      <c r="I26" s="34"/>
      <c r="J26" s="39"/>
      <c r="K26" s="40">
        <v>0.76</v>
      </c>
      <c r="L26" s="34"/>
      <c r="M26" s="35"/>
      <c r="N26" s="34"/>
      <c r="O26" s="35"/>
      <c r="P26" s="6"/>
    </row>
    <row r="27" spans="1:16" ht="15.75" customHeight="1" x14ac:dyDescent="0.3">
      <c r="A27" s="29" t="s">
        <v>3</v>
      </c>
      <c r="B27" s="29" t="s">
        <v>181</v>
      </c>
      <c r="C27" s="30" t="str">
        <f>+RIGHT(Table4[[#This Row],[City]],2)</f>
        <v>SC</v>
      </c>
      <c r="D27" s="29" t="s">
        <v>4</v>
      </c>
      <c r="E27" s="37">
        <v>2013</v>
      </c>
      <c r="F27" s="29" t="s">
        <v>69</v>
      </c>
      <c r="G27" s="29" t="s">
        <v>5</v>
      </c>
      <c r="H27" s="38">
        <v>62000000</v>
      </c>
      <c r="I27" s="34"/>
      <c r="J27" s="39"/>
      <c r="K27" s="40">
        <v>0.76</v>
      </c>
      <c r="L27" s="34"/>
      <c r="M27" s="35">
        <f>Table4[[#This Row],[NG Cons (Low) MMBTU]]/1000/1000/365</f>
        <v>0</v>
      </c>
      <c r="N27" s="34"/>
      <c r="O27" s="35">
        <f>Table4[[#This Row],[NG Cons (High) MMBTU]]/1000/1000/365</f>
        <v>0</v>
      </c>
      <c r="P27" s="6"/>
    </row>
    <row r="28" spans="1:16" ht="15.75" customHeight="1" x14ac:dyDescent="0.3">
      <c r="A28" s="29" t="s">
        <v>3</v>
      </c>
      <c r="B28" s="29" t="s">
        <v>2</v>
      </c>
      <c r="C28" s="30" t="str">
        <f>+RIGHT(Table4[[#This Row],[City]],2)</f>
        <v>LA</v>
      </c>
      <c r="D28" s="29" t="s">
        <v>4</v>
      </c>
      <c r="E28" s="29">
        <v>2014</v>
      </c>
      <c r="F28" s="29" t="s">
        <v>0</v>
      </c>
      <c r="G28" s="29" t="s">
        <v>1</v>
      </c>
      <c r="H28" s="38">
        <v>13900000</v>
      </c>
      <c r="I28" s="34"/>
      <c r="J28" s="29"/>
      <c r="K28" s="40">
        <v>0.76</v>
      </c>
      <c r="L28" s="34"/>
      <c r="M28" s="35"/>
      <c r="N28" s="34"/>
      <c r="O28" s="35"/>
      <c r="P28" s="6"/>
    </row>
    <row r="29" spans="1:16" ht="15.75" customHeight="1" x14ac:dyDescent="0.3">
      <c r="A29" s="29" t="s">
        <v>3</v>
      </c>
      <c r="B29" s="29" t="s">
        <v>182</v>
      </c>
      <c r="C29" s="30" t="str">
        <f>+RIGHT(Table4[[#This Row],[City]],2)</f>
        <v>TN</v>
      </c>
      <c r="D29" s="29" t="s">
        <v>4</v>
      </c>
      <c r="E29" s="29">
        <v>2014</v>
      </c>
      <c r="F29" s="29" t="s">
        <v>0</v>
      </c>
      <c r="G29" s="29" t="s">
        <v>5</v>
      </c>
      <c r="H29" s="38"/>
      <c r="I29" s="34"/>
      <c r="J29" s="39"/>
      <c r="K29" s="40">
        <v>0.76</v>
      </c>
      <c r="L29" s="34"/>
      <c r="M29" s="35"/>
      <c r="N29" s="34"/>
      <c r="O29" s="35"/>
      <c r="P29" s="6"/>
    </row>
    <row r="30" spans="1:16" s="36" customFormat="1" ht="15.75" customHeight="1" x14ac:dyDescent="0.3">
      <c r="A30" s="29" t="s">
        <v>3</v>
      </c>
      <c r="B30" s="29" t="s">
        <v>73</v>
      </c>
      <c r="C30" s="30" t="str">
        <f>+RIGHT(Table4[[#This Row],[City]],2)</f>
        <v>TX</v>
      </c>
      <c r="D30" s="29" t="s">
        <v>117</v>
      </c>
      <c r="E30" s="52"/>
      <c r="F30" s="29" t="s">
        <v>253</v>
      </c>
      <c r="G30" s="29" t="s">
        <v>1</v>
      </c>
      <c r="H30" s="38">
        <v>1000000000</v>
      </c>
      <c r="I30" s="34">
        <v>475000</v>
      </c>
      <c r="J30" s="32" t="s">
        <v>38</v>
      </c>
      <c r="K30" s="45">
        <v>0.76</v>
      </c>
      <c r="L30" s="34">
        <f>Table4[[#This Row],[Capacity]]*6.615*Table4[[#This Row],[Utilization]]</f>
        <v>2388015</v>
      </c>
      <c r="M30" s="35">
        <f>Table4[[#This Row],[NG Cons (Low) MMBTU]]/1000/1000/365</f>
        <v>6.5425068493150679E-3</v>
      </c>
      <c r="N30" s="34">
        <f>Table4[[#This Row],[Capacity]]*13.23*Table4[[#This Row],[Utilization]]</f>
        <v>4776030</v>
      </c>
      <c r="O30" s="35">
        <f>Table4[[#This Row],[NG Cons (High) MMBTU]]/1000/1000/365</f>
        <v>1.3085013698630136E-2</v>
      </c>
    </row>
    <row r="31" spans="1:16" s="36" customFormat="1" ht="15.75" customHeight="1" x14ac:dyDescent="0.3">
      <c r="A31" s="29" t="s">
        <v>163</v>
      </c>
      <c r="B31" s="29" t="s">
        <v>161</v>
      </c>
      <c r="C31" s="30" t="str">
        <f>+RIGHT(Table4[[#This Row],[City]],2)</f>
        <v>TX</v>
      </c>
      <c r="D31" s="29" t="s">
        <v>315</v>
      </c>
      <c r="E31" s="37">
        <v>2013</v>
      </c>
      <c r="F31" s="29" t="s">
        <v>69</v>
      </c>
      <c r="G31" s="29" t="s">
        <v>5</v>
      </c>
      <c r="H31" s="38">
        <v>3000000000</v>
      </c>
      <c r="I31" s="34">
        <v>1000000</v>
      </c>
      <c r="J31" s="39" t="s">
        <v>38</v>
      </c>
      <c r="K31" s="40">
        <v>0.76</v>
      </c>
      <c r="L31" s="34">
        <f>19.3*Table4[[#This Row],[Capacity]]*Table4[[#This Row],[Utilization]]</f>
        <v>14668000</v>
      </c>
      <c r="M31" s="35">
        <f>Table4[[#This Row],[NG Cons (Low) MMBTU]]/1000/1000/365</f>
        <v>4.0186301369863009E-2</v>
      </c>
      <c r="N31" s="34">
        <f>Table4[[#This Row],[Capacity]]*30.87*Table4[[#This Row],[Utilization]]</f>
        <v>23461200</v>
      </c>
      <c r="O31" s="35">
        <f>Table4[[#This Row],[NG Cons (High) MMBTU]]/1000/1000/365</f>
        <v>6.4277260273972611E-2</v>
      </c>
    </row>
    <row r="32" spans="1:16" ht="15.75" customHeight="1" x14ac:dyDescent="0.3">
      <c r="A32" s="29" t="s">
        <v>163</v>
      </c>
      <c r="B32" s="29" t="s">
        <v>161</v>
      </c>
      <c r="C32" s="30" t="str">
        <f>+RIGHT(Table4[[#This Row],[City]],2)</f>
        <v>TX</v>
      </c>
      <c r="D32" s="29" t="s">
        <v>315</v>
      </c>
      <c r="E32" s="39">
        <v>2014</v>
      </c>
      <c r="F32" s="29" t="s">
        <v>69</v>
      </c>
      <c r="G32" s="29" t="s">
        <v>5</v>
      </c>
      <c r="H32" s="38">
        <v>500000000</v>
      </c>
      <c r="I32" s="34">
        <v>150000</v>
      </c>
      <c r="J32" s="39" t="s">
        <v>38</v>
      </c>
      <c r="K32" s="40">
        <v>0.76</v>
      </c>
      <c r="L32" s="34">
        <f>19.3*Table4[[#This Row],[Capacity]]*Table4[[#This Row],[Utilization]]</f>
        <v>2200200</v>
      </c>
      <c r="M32" s="35">
        <f>Table4[[#This Row],[NG Cons (Low) MMBTU]]/1000/1000/365</f>
        <v>6.027945205479451E-3</v>
      </c>
      <c r="N32" s="34">
        <f>Table4[[#This Row],[Capacity]]*30.87*Table4[[#This Row],[Utilization]]</f>
        <v>3519180</v>
      </c>
      <c r="O32" s="35">
        <f>Table4[[#This Row],[NG Cons (High) MMBTU]]/1000/1000/365</f>
        <v>9.6415890410958896E-3</v>
      </c>
      <c r="P32" s="6"/>
    </row>
    <row r="33" spans="1:16" ht="15.75" customHeight="1" x14ac:dyDescent="0.3">
      <c r="A33" s="29" t="s">
        <v>306</v>
      </c>
      <c r="B33" s="29" t="s">
        <v>73</v>
      </c>
      <c r="C33" s="30" t="str">
        <f>+RIGHT(Table4[[#This Row],[City]],2)</f>
        <v>TX</v>
      </c>
      <c r="D33" s="29" t="s">
        <v>312</v>
      </c>
      <c r="E33" s="37">
        <v>2017</v>
      </c>
      <c r="F33" s="29" t="s">
        <v>0</v>
      </c>
      <c r="G33" s="29" t="s">
        <v>1</v>
      </c>
      <c r="H33" s="38">
        <v>600000000</v>
      </c>
      <c r="I33" s="34">
        <v>750000</v>
      </c>
      <c r="J33" s="39" t="s">
        <v>38</v>
      </c>
      <c r="K33" s="40">
        <v>0.76</v>
      </c>
      <c r="L33" s="34">
        <f>Table4[[#This Row],[Capacity]]*30.87*Table4[[#This Row],[Utilization]]</f>
        <v>17595900</v>
      </c>
      <c r="M33" s="35">
        <f>Table4[[#This Row],[NG Cons (Low) MMBTU]]/1000/1000/365</f>
        <v>4.8207945205479455E-2</v>
      </c>
      <c r="N33" s="34">
        <f>Table4[[#This Row],[Capacity]]*36.58</f>
        <v>27435000</v>
      </c>
      <c r="O33" s="35">
        <f>Table4[[#This Row],[NG Cons (High) MMBTU]]/1000/1000/365</f>
        <v>7.516438356164383E-2</v>
      </c>
      <c r="P33" s="6"/>
    </row>
    <row r="34" spans="1:16" ht="15.75" customHeight="1" x14ac:dyDescent="0.3">
      <c r="A34" s="29" t="s">
        <v>166</v>
      </c>
      <c r="B34" s="29" t="s">
        <v>167</v>
      </c>
      <c r="C34" s="30" t="str">
        <f>+RIGHT(Table4[[#This Row],[City]],2)</f>
        <v>LA</v>
      </c>
      <c r="D34" s="29" t="s">
        <v>330</v>
      </c>
      <c r="E34" s="37">
        <v>2015</v>
      </c>
      <c r="F34" s="29" t="s">
        <v>69</v>
      </c>
      <c r="G34" s="29" t="s">
        <v>1</v>
      </c>
      <c r="H34" s="38">
        <v>975000000</v>
      </c>
      <c r="I34" s="34">
        <v>320000</v>
      </c>
      <c r="J34" s="39" t="s">
        <v>38</v>
      </c>
      <c r="K34" s="40">
        <v>0.8</v>
      </c>
      <c r="L34" s="34">
        <f>Table4[[#This Row],[Capacity]]*9.425*Table4[[#This Row],[Utilization]]</f>
        <v>2412800</v>
      </c>
      <c r="M34" s="35">
        <f>Table4[[#This Row],[NG Cons (Low) MMBTU]]/1000/1000/365</f>
        <v>6.6104109589041104E-3</v>
      </c>
      <c r="N34" s="34">
        <f>Table4[[#This Row],[Capacity]]*13*Table4[[#This Row],[Utilization]]</f>
        <v>3328000</v>
      </c>
      <c r="O34" s="35">
        <f>Table4[[#This Row],[NG Cons (High) MMBTU]]/1000/1000/365</f>
        <v>9.1178082191780817E-3</v>
      </c>
      <c r="P34" s="6"/>
    </row>
    <row r="35" spans="1:16" ht="15.75" customHeight="1" x14ac:dyDescent="0.3">
      <c r="A35" s="29" t="s">
        <v>276</v>
      </c>
      <c r="B35" s="29" t="s">
        <v>277</v>
      </c>
      <c r="C35" s="30" t="str">
        <f>+RIGHT(Table4[[#This Row],[City]],2)</f>
        <v>LA</v>
      </c>
      <c r="D35" s="29" t="s">
        <v>312</v>
      </c>
      <c r="E35" s="29">
        <v>2015</v>
      </c>
      <c r="F35" s="29" t="s">
        <v>227</v>
      </c>
      <c r="G35" s="29" t="s">
        <v>1</v>
      </c>
      <c r="H35" s="38">
        <f>200000000*5</f>
        <v>1000000000</v>
      </c>
      <c r="I35" s="34">
        <v>0</v>
      </c>
      <c r="J35" s="39" t="s">
        <v>38</v>
      </c>
      <c r="K35" s="40">
        <v>0.76</v>
      </c>
      <c r="L35" s="34" t="s">
        <v>425</v>
      </c>
      <c r="M35" s="35"/>
      <c r="N35" s="34">
        <f>Table4[[#This Row],[Capacity]]*36.58</f>
        <v>0</v>
      </c>
      <c r="O35" s="35"/>
      <c r="P35" s="6"/>
    </row>
    <row r="36" spans="1:16" s="23" customFormat="1" ht="15.75" customHeight="1" x14ac:dyDescent="0.3">
      <c r="A36" s="29" t="s">
        <v>276</v>
      </c>
      <c r="B36" s="29" t="s">
        <v>311</v>
      </c>
      <c r="C36" s="30" t="s">
        <v>391</v>
      </c>
      <c r="D36" s="29" t="s">
        <v>312</v>
      </c>
      <c r="E36" s="29">
        <v>2016</v>
      </c>
      <c r="F36" s="29" t="s">
        <v>227</v>
      </c>
      <c r="G36" s="29" t="s">
        <v>1</v>
      </c>
      <c r="H36" s="38">
        <v>300000000</v>
      </c>
      <c r="I36" s="34">
        <v>0</v>
      </c>
      <c r="J36" s="39" t="s">
        <v>38</v>
      </c>
      <c r="K36" s="40">
        <v>0.76</v>
      </c>
      <c r="L36" s="34" t="s">
        <v>425</v>
      </c>
      <c r="M36" s="35"/>
      <c r="N36" s="34">
        <f>Table4[[#This Row],[Capacity]]*36.58</f>
        <v>0</v>
      </c>
      <c r="O36" s="35"/>
    </row>
    <row r="37" spans="1:16" ht="15.75" customHeight="1" x14ac:dyDescent="0.3">
      <c r="A37" s="29" t="s">
        <v>237</v>
      </c>
      <c r="B37" s="39" t="s">
        <v>238</v>
      </c>
      <c r="C37" s="30" t="str">
        <f>+RIGHT(Table4[[#This Row],[City]],2)</f>
        <v>TX</v>
      </c>
      <c r="D37" s="29" t="s">
        <v>133</v>
      </c>
      <c r="E37" s="39">
        <v>2013</v>
      </c>
      <c r="F37" s="29" t="s">
        <v>69</v>
      </c>
      <c r="G37" s="39" t="s">
        <v>1</v>
      </c>
      <c r="H37" s="38">
        <v>180000000</v>
      </c>
      <c r="I37" s="34">
        <v>27000</v>
      </c>
      <c r="J37" s="39" t="s">
        <v>76</v>
      </c>
      <c r="K37" s="40">
        <v>0.76</v>
      </c>
      <c r="L37" s="34"/>
      <c r="M37" s="35">
        <f>Table4[[#This Row],[NG Cons (Low) MMBTU]]/1000/1000/365</f>
        <v>0</v>
      </c>
      <c r="N37" s="34"/>
      <c r="O37" s="35">
        <f>Table4[[#This Row],[NG Cons (High) MMBTU]]/1000/1000/365</f>
        <v>0</v>
      </c>
      <c r="P37" s="6"/>
    </row>
    <row r="38" spans="1:16" s="18" customFormat="1" ht="15.75" customHeight="1" x14ac:dyDescent="0.3">
      <c r="A38" s="29" t="s">
        <v>350</v>
      </c>
      <c r="B38" s="29" t="s">
        <v>256</v>
      </c>
      <c r="C38" s="30" t="str">
        <f>+RIGHT(Table4[[#This Row],[City]],2)</f>
        <v>WV</v>
      </c>
      <c r="D38" s="29" t="s">
        <v>315</v>
      </c>
      <c r="E38" s="37">
        <v>2020</v>
      </c>
      <c r="F38" s="29" t="s">
        <v>0</v>
      </c>
      <c r="G38" s="29" t="s">
        <v>1</v>
      </c>
      <c r="H38" s="38">
        <v>3200000000</v>
      </c>
      <c r="I38" s="34">
        <v>1050000</v>
      </c>
      <c r="J38" s="39" t="s">
        <v>38</v>
      </c>
      <c r="K38" s="40">
        <v>0.76</v>
      </c>
      <c r="L38" s="34">
        <f>19.3*Table4[[#This Row],[Capacity]]*Table4[[#This Row],[Utilization]]</f>
        <v>15401400</v>
      </c>
      <c r="M38" s="35">
        <f>Table4[[#This Row],[NG Cons (Low) MMBTU]]/1000/1000/365</f>
        <v>4.2195616438356162E-2</v>
      </c>
      <c r="N38" s="34">
        <f>Table4[[#This Row],[Capacity]]*30.87*Table4[[#This Row],[Utilization]]</f>
        <v>24634260</v>
      </c>
      <c r="O38" s="35">
        <f>Table4[[#This Row],[NG Cons (High) MMBTU]]/1000/1000/365</f>
        <v>6.749112328767122E-2</v>
      </c>
    </row>
    <row r="39" spans="1:16" ht="15.75" customHeight="1" x14ac:dyDescent="0.3">
      <c r="A39" s="29" t="s">
        <v>350</v>
      </c>
      <c r="B39" s="29" t="s">
        <v>256</v>
      </c>
      <c r="C39" s="30" t="str">
        <f>+RIGHT(Table4[[#This Row],[City]],2)</f>
        <v>WV</v>
      </c>
      <c r="D39" s="29" t="s">
        <v>120</v>
      </c>
      <c r="E39" s="29">
        <v>2020</v>
      </c>
      <c r="F39" s="29" t="s">
        <v>0</v>
      </c>
      <c r="G39" s="29" t="s">
        <v>1</v>
      </c>
      <c r="H39" s="38">
        <f>444*I39</f>
        <v>155400000</v>
      </c>
      <c r="I39" s="34">
        <v>350000</v>
      </c>
      <c r="J39" s="39" t="s">
        <v>38</v>
      </c>
      <c r="K39" s="40">
        <v>0.76</v>
      </c>
      <c r="L39" s="34">
        <f>Table4[[#This Row],[Capacity]]*4.8*Table4[[#This Row],[Utilization]]</f>
        <v>1276800</v>
      </c>
      <c r="M39" s="35">
        <f>Table4[[#This Row],[NG Cons (Low) MMBTU]]/1000/1000/365</f>
        <v>3.4980821917808217E-3</v>
      </c>
      <c r="N39" s="34">
        <f>Table4[[#This Row],[NG Cons (Low) MMBTU]]</f>
        <v>1276800</v>
      </c>
      <c r="O39" s="35">
        <f>Table4[[#This Row],[NG Cons (High) MMBTU]]/1000/1000/365</f>
        <v>3.4980821917808217E-3</v>
      </c>
      <c r="P39" s="6"/>
    </row>
    <row r="40" spans="1:16" ht="15.75" customHeight="1" x14ac:dyDescent="0.3">
      <c r="A40" s="29" t="s">
        <v>350</v>
      </c>
      <c r="B40" s="29" t="s">
        <v>256</v>
      </c>
      <c r="C40" s="30" t="str">
        <f>+RIGHT(Table4[[#This Row],[City]],2)</f>
        <v>WV</v>
      </c>
      <c r="D40" s="29" t="s">
        <v>120</v>
      </c>
      <c r="E40" s="29">
        <v>2020</v>
      </c>
      <c r="F40" s="29" t="s">
        <v>0</v>
      </c>
      <c r="G40" s="29" t="s">
        <v>1</v>
      </c>
      <c r="H40" s="38">
        <f>444*I40</f>
        <v>133200000</v>
      </c>
      <c r="I40" s="34">
        <v>300000</v>
      </c>
      <c r="J40" s="39" t="s">
        <v>38</v>
      </c>
      <c r="K40" s="40">
        <v>0.76</v>
      </c>
      <c r="L40" s="34">
        <f>Table4[[#This Row],[Capacity]]*4.8*Table4[[#This Row],[Utilization]]</f>
        <v>1094400</v>
      </c>
      <c r="M40" s="35">
        <f>Table4[[#This Row],[NG Cons (Low) MMBTU]]/1000/1000/365</f>
        <v>2.9983561643835616E-3</v>
      </c>
      <c r="N40" s="34">
        <f>Table4[[#This Row],[NG Cons (Low) MMBTU]]</f>
        <v>1094400</v>
      </c>
      <c r="O40" s="35">
        <f>Table4[[#This Row],[NG Cons (High) MMBTU]]/1000/1000/365</f>
        <v>2.9983561643835616E-3</v>
      </c>
      <c r="P40" s="6"/>
    </row>
    <row r="41" spans="1:16" ht="15.75" customHeight="1" x14ac:dyDescent="0.3">
      <c r="A41" s="29" t="s">
        <v>350</v>
      </c>
      <c r="B41" s="29" t="s">
        <v>256</v>
      </c>
      <c r="C41" s="30" t="str">
        <f>+RIGHT(Table4[[#This Row],[City]],2)</f>
        <v>WV</v>
      </c>
      <c r="D41" s="29" t="s">
        <v>120</v>
      </c>
      <c r="E41" s="29">
        <v>2020</v>
      </c>
      <c r="F41" s="29" t="s">
        <v>0</v>
      </c>
      <c r="G41" s="29" t="s">
        <v>1</v>
      </c>
      <c r="H41" s="38">
        <f>444*I41</f>
        <v>133200000</v>
      </c>
      <c r="I41" s="34">
        <v>300000</v>
      </c>
      <c r="J41" s="39" t="s">
        <v>38</v>
      </c>
      <c r="K41" s="40">
        <v>0.76</v>
      </c>
      <c r="L41" s="34">
        <f>Table4[[#This Row],[Capacity]]*4.8*Table4[[#This Row],[Utilization]]</f>
        <v>1094400</v>
      </c>
      <c r="M41" s="35">
        <f>Table4[[#This Row],[NG Cons (Low) MMBTU]]/1000/1000/365</f>
        <v>2.9983561643835616E-3</v>
      </c>
      <c r="N41" s="34">
        <f>Table4[[#This Row],[NG Cons (Low) MMBTU]]</f>
        <v>1094400</v>
      </c>
      <c r="O41" s="35">
        <f>Table4[[#This Row],[NG Cons (High) MMBTU]]/1000/1000/365</f>
        <v>2.9983561643835616E-3</v>
      </c>
      <c r="P41" s="6"/>
    </row>
    <row r="42" spans="1:16" ht="15.75" customHeight="1" x14ac:dyDescent="0.3">
      <c r="A42" s="29" t="s">
        <v>26</v>
      </c>
      <c r="B42" s="29" t="s">
        <v>31</v>
      </c>
      <c r="C42" s="30" t="str">
        <f>+RIGHT(Table4[[#This Row],[City]],2)</f>
        <v>SC</v>
      </c>
      <c r="D42" s="29" t="s">
        <v>168</v>
      </c>
      <c r="E42" s="29">
        <v>2015</v>
      </c>
      <c r="F42" s="29" t="s">
        <v>0</v>
      </c>
      <c r="G42" s="29" t="s">
        <v>1</v>
      </c>
      <c r="H42" s="38">
        <v>900000000</v>
      </c>
      <c r="I42" s="34">
        <v>130</v>
      </c>
      <c r="J42" s="29" t="s">
        <v>38</v>
      </c>
      <c r="K42" s="40"/>
      <c r="L42" s="34"/>
      <c r="M42" s="35"/>
      <c r="N42" s="34"/>
      <c r="O42" s="35"/>
      <c r="P42" s="6"/>
    </row>
    <row r="43" spans="1:16" ht="15.75" customHeight="1" x14ac:dyDescent="0.3">
      <c r="A43" s="29" t="s">
        <v>26</v>
      </c>
      <c r="B43" s="29" t="s">
        <v>31</v>
      </c>
      <c r="C43" s="30" t="str">
        <f>+RIGHT(Table4[[#This Row],[City]],2)</f>
        <v>SC</v>
      </c>
      <c r="D43" s="29" t="s">
        <v>168</v>
      </c>
      <c r="E43" s="29">
        <v>2013</v>
      </c>
      <c r="F43" s="29" t="s">
        <v>69</v>
      </c>
      <c r="G43" s="29" t="s">
        <v>5</v>
      </c>
      <c r="H43" s="38">
        <v>346000000</v>
      </c>
      <c r="I43" s="34">
        <v>37750</v>
      </c>
      <c r="J43" s="29" t="s">
        <v>233</v>
      </c>
      <c r="K43" s="40"/>
      <c r="L43" s="34"/>
      <c r="M43" s="35">
        <f>Table4[[#This Row],[NG Cons (Low) MMBTU]]/1000/1000/365</f>
        <v>0</v>
      </c>
      <c r="N43" s="34"/>
      <c r="O43" s="35">
        <f>Table4[[#This Row],[NG Cons (High) MMBTU]]/1000/1000/365</f>
        <v>0</v>
      </c>
      <c r="P43" s="6"/>
    </row>
    <row r="44" spans="1:16" s="18" customFormat="1" ht="15.75" customHeight="1" x14ac:dyDescent="0.3">
      <c r="A44" s="29" t="s">
        <v>26</v>
      </c>
      <c r="B44" s="29" t="s">
        <v>25</v>
      </c>
      <c r="C44" s="30" t="str">
        <f>+RIGHT(Table4[[#This Row],[City]],2)</f>
        <v>IL</v>
      </c>
      <c r="D44" s="29" t="s">
        <v>168</v>
      </c>
      <c r="E44" s="29">
        <v>2013</v>
      </c>
      <c r="F44" s="29" t="s">
        <v>69</v>
      </c>
      <c r="G44" s="29" t="s">
        <v>1</v>
      </c>
      <c r="H44" s="38">
        <v>12000000</v>
      </c>
      <c r="I44" s="34"/>
      <c r="J44" s="29"/>
      <c r="K44" s="40"/>
      <c r="L44" s="34"/>
      <c r="M44" s="35">
        <f>Table4[[#This Row],[NG Cons (Low) MMBTU]]/1000/1000/365</f>
        <v>0</v>
      </c>
      <c r="N44" s="34"/>
      <c r="O44" s="35">
        <f>Table4[[#This Row],[NG Cons (High) MMBTU]]/1000/1000/365</f>
        <v>0</v>
      </c>
    </row>
    <row r="45" spans="1:16" ht="15.75" customHeight="1" x14ac:dyDescent="0.3">
      <c r="A45" s="29" t="s">
        <v>119</v>
      </c>
      <c r="B45" s="29" t="s">
        <v>180</v>
      </c>
      <c r="C45" s="30" t="str">
        <f>+RIGHT(Table4[[#This Row],[City]],2)</f>
        <v>TX</v>
      </c>
      <c r="D45" s="29" t="s">
        <v>117</v>
      </c>
      <c r="E45" s="37">
        <v>2015</v>
      </c>
      <c r="F45" s="29" t="s">
        <v>110</v>
      </c>
      <c r="G45" s="29" t="s">
        <v>1</v>
      </c>
      <c r="H45" s="38">
        <v>1200000000</v>
      </c>
      <c r="I45" s="34">
        <v>1000000</v>
      </c>
      <c r="J45" s="39" t="s">
        <v>38</v>
      </c>
      <c r="K45" s="40">
        <v>0.76</v>
      </c>
      <c r="L45" s="34">
        <f>Table4[[#This Row],[Capacity]]*6.615*Table4[[#This Row],[Utilization]]</f>
        <v>5027400</v>
      </c>
      <c r="M45" s="35">
        <f>Table4[[#This Row],[NG Cons (Low) MMBTU]]/1000/1000/365</f>
        <v>1.3773698630136983E-2</v>
      </c>
      <c r="N45" s="34">
        <f>Table4[[#This Row],[Capacity]]*13.23*Table4[[#This Row],[Utilization]]</f>
        <v>10054800</v>
      </c>
      <c r="O45" s="35">
        <f>Table4[[#This Row],[NG Cons (High) MMBTU]]/1000/1000/365</f>
        <v>2.7547397260273967E-2</v>
      </c>
      <c r="P45" s="6"/>
    </row>
    <row r="46" spans="1:16" ht="15.75" customHeight="1" x14ac:dyDescent="0.3">
      <c r="A46" s="29" t="s">
        <v>283</v>
      </c>
      <c r="B46" s="29" t="s">
        <v>81</v>
      </c>
      <c r="C46" s="30" t="str">
        <f>+RIGHT(Table4[[#This Row],[City]],2)</f>
        <v>PA</v>
      </c>
      <c r="D46" s="29" t="s">
        <v>78</v>
      </c>
      <c r="E46" s="29">
        <v>2014</v>
      </c>
      <c r="F46" s="29" t="s">
        <v>253</v>
      </c>
      <c r="G46" s="29" t="s">
        <v>1</v>
      </c>
      <c r="H46" s="38">
        <v>130000000</v>
      </c>
      <c r="I46" s="34">
        <v>1400</v>
      </c>
      <c r="J46" s="39" t="s">
        <v>76</v>
      </c>
      <c r="K46" s="40">
        <v>0.76</v>
      </c>
      <c r="L46" s="34">
        <f>Table4[[#This Row],[Capacity]]/10000*101/1000*365*1024*1000*Table4[[#This Row],[Utilization]]</f>
        <v>4016574.4640000002</v>
      </c>
      <c r="M46" s="35">
        <f>Table4[[#This Row],[NG Cons (Low) MMBTU]]/1000/1000/365</f>
        <v>1.1004313600000001E-2</v>
      </c>
      <c r="N46" s="34">
        <f>Table4[[#This Row],[Capacity]]*365*10*1024/875*Table4[[#This Row],[Utilization]]</f>
        <v>4544921.5999999996</v>
      </c>
      <c r="O46" s="35">
        <f>Table4[[#This Row],[NG Cons (High) MMBTU]]/1000/1000/365</f>
        <v>1.2451839999999999E-2</v>
      </c>
      <c r="P46" s="6"/>
    </row>
    <row r="47" spans="1:16" ht="15.75" customHeight="1" x14ac:dyDescent="0.3">
      <c r="A47" s="29" t="s">
        <v>328</v>
      </c>
      <c r="B47" s="29"/>
      <c r="C47" s="30" t="s">
        <v>245</v>
      </c>
      <c r="D47" s="29" t="s">
        <v>78</v>
      </c>
      <c r="E47" s="37"/>
      <c r="F47" s="29" t="s">
        <v>84</v>
      </c>
      <c r="G47" s="29" t="s">
        <v>1</v>
      </c>
      <c r="H47" s="38">
        <v>135000000</v>
      </c>
      <c r="I47" s="34">
        <v>1000</v>
      </c>
      <c r="J47" s="39" t="s">
        <v>76</v>
      </c>
      <c r="K47" s="40">
        <v>0.76</v>
      </c>
      <c r="L47" s="34">
        <f>Table4[[#This Row],[Capacity]]/10000*101/1000*365*1024*1000*Table4[[#This Row],[Utilization]]</f>
        <v>2868981.7600000002</v>
      </c>
      <c r="M47" s="35">
        <f>Table4[[#This Row],[NG Cons (Low) MMBTU]]/1000/1000/365</f>
        <v>7.8602240000000007E-3</v>
      </c>
      <c r="N47" s="34">
        <f>Table4[[#This Row],[Capacity]]*365*10*1024/875*Table4[[#This Row],[Utilization]]</f>
        <v>3246372.5714285714</v>
      </c>
      <c r="O47" s="35">
        <f>Table4[[#This Row],[NG Cons (High) MMBTU]]/1000/1000/365</f>
        <v>8.8941714285714294E-3</v>
      </c>
      <c r="P47" s="6"/>
    </row>
    <row r="48" spans="1:16" ht="15.75" customHeight="1" x14ac:dyDescent="0.3">
      <c r="A48" s="29" t="s">
        <v>50</v>
      </c>
      <c r="B48" s="29" t="s">
        <v>56</v>
      </c>
      <c r="C48" s="30" t="str">
        <f>+RIGHT(Table4[[#This Row],[City]],2)</f>
        <v>PA</v>
      </c>
      <c r="D48" s="29" t="s">
        <v>40</v>
      </c>
      <c r="E48" s="29">
        <v>2012</v>
      </c>
      <c r="F48" s="29" t="s">
        <v>247</v>
      </c>
      <c r="G48" s="29" t="s">
        <v>5</v>
      </c>
      <c r="H48" s="38">
        <v>6000000</v>
      </c>
      <c r="I48" s="34">
        <v>6000</v>
      </c>
      <c r="J48" s="39" t="s">
        <v>38</v>
      </c>
      <c r="K48" s="40">
        <v>0.76</v>
      </c>
      <c r="L48" s="34">
        <f>Table4[[#This Row],[Capacity]]*2</f>
        <v>12000</v>
      </c>
      <c r="M48" s="35">
        <f>Table4[[#This Row],[NG Cons (Low) MMBTU]]/1000/1000/365</f>
        <v>3.2876712328767127E-5</v>
      </c>
      <c r="N48" s="34">
        <f>Table4[[#This Row],[NG Cons (Low) MMBTU]]</f>
        <v>12000</v>
      </c>
      <c r="O48" s="35">
        <f>Table4[[#This Row],[NG Cons (High) MMBTU]]/1000/1000/365</f>
        <v>3.2876712328767127E-5</v>
      </c>
      <c r="P48" s="6"/>
    </row>
    <row r="49" spans="1:16" ht="15.75" customHeight="1" x14ac:dyDescent="0.3">
      <c r="A49" s="29" t="s">
        <v>50</v>
      </c>
      <c r="B49" s="29" t="s">
        <v>49</v>
      </c>
      <c r="C49" s="30" t="str">
        <f>+RIGHT(Table4[[#This Row],[City]],2)</f>
        <v>AL</v>
      </c>
      <c r="D49" s="29" t="s">
        <v>332</v>
      </c>
      <c r="E49" s="29">
        <v>2014</v>
      </c>
      <c r="F49" s="29" t="s">
        <v>69</v>
      </c>
      <c r="G49" s="29" t="s">
        <v>1</v>
      </c>
      <c r="H49" s="38">
        <v>500000000</v>
      </c>
      <c r="I49" s="34">
        <v>27000</v>
      </c>
      <c r="J49" s="39" t="s">
        <v>38</v>
      </c>
      <c r="K49" s="40">
        <v>0.8</v>
      </c>
      <c r="L49" s="34">
        <f>Table4[[#This Row],[Capacity]]*9.425*Table4[[#This Row],[Utilization]]</f>
        <v>203580.00000000003</v>
      </c>
      <c r="M49" s="35">
        <f>Table4[[#This Row],[NG Cons (Low) MMBTU]]/1000/1000/365</f>
        <v>5.5775342465753431E-4</v>
      </c>
      <c r="N49" s="34">
        <f>Table4[[#This Row],[Capacity]]*13*Table4[[#This Row],[Utilization]]</f>
        <v>280800</v>
      </c>
      <c r="O49" s="35">
        <f>Table4[[#This Row],[NG Cons (High) MMBTU]]/1000/1000/365</f>
        <v>7.6931506849315062E-4</v>
      </c>
      <c r="P49" s="6"/>
    </row>
    <row r="50" spans="1:16" ht="15.75" customHeight="1" x14ac:dyDescent="0.3">
      <c r="A50" s="29" t="s">
        <v>357</v>
      </c>
      <c r="B50" s="29" t="s">
        <v>8</v>
      </c>
      <c r="C50" s="30" t="str">
        <f>+RIGHT(Table4[[#This Row],[City]],2)</f>
        <v>LA</v>
      </c>
      <c r="D50" s="29" t="s">
        <v>98</v>
      </c>
      <c r="E50" s="39">
        <v>2018</v>
      </c>
      <c r="F50" s="29" t="s">
        <v>84</v>
      </c>
      <c r="G50" s="29" t="s">
        <v>1</v>
      </c>
      <c r="H50" s="38">
        <v>1200000000</v>
      </c>
      <c r="I50" s="34">
        <v>1825000</v>
      </c>
      <c r="J50" s="39" t="s">
        <v>38</v>
      </c>
      <c r="K50" s="33">
        <v>0.76</v>
      </c>
      <c r="L50" s="34">
        <f>Table4[[#This Row],[Capacity]]*31.968*Table4[[#This Row],[Utilization]]</f>
        <v>44339616</v>
      </c>
      <c r="M50" s="35">
        <f>Table4[[#This Row],[NG Cons (Low) MMBTU]]/1000/1000/365</f>
        <v>0.1214784</v>
      </c>
      <c r="N50" s="34">
        <f>Table4[[#This Row],[Capacity]]*32.634*Table4[[#This Row],[Utilization]]</f>
        <v>45263358</v>
      </c>
      <c r="O50" s="35">
        <f>Table4[[#This Row],[NG Cons (High) MMBTU]]/1000/1000/365</f>
        <v>0.12400919999999999</v>
      </c>
      <c r="P50" s="6"/>
    </row>
    <row r="51" spans="1:16" ht="15.75" customHeight="1" x14ac:dyDescent="0.3">
      <c r="A51" s="29" t="s">
        <v>24</v>
      </c>
      <c r="B51" s="29" t="s">
        <v>23</v>
      </c>
      <c r="C51" s="30" t="str">
        <f>+RIGHT(Table4[[#This Row],[City]],2)</f>
        <v>GA</v>
      </c>
      <c r="D51" s="29" t="s">
        <v>168</v>
      </c>
      <c r="E51" s="37" t="s">
        <v>37</v>
      </c>
      <c r="F51" s="29" t="s">
        <v>116</v>
      </c>
      <c r="G51" s="29" t="s">
        <v>1</v>
      </c>
      <c r="H51" s="38">
        <v>200000000</v>
      </c>
      <c r="I51" s="34"/>
      <c r="J51" s="29"/>
      <c r="K51" s="40"/>
      <c r="L51" s="34"/>
      <c r="M51" s="35"/>
      <c r="N51" s="34"/>
      <c r="O51" s="35"/>
      <c r="P51" s="6"/>
    </row>
    <row r="52" spans="1:16" ht="15.75" customHeight="1" x14ac:dyDescent="0.3">
      <c r="A52" s="29" t="s">
        <v>288</v>
      </c>
      <c r="B52" s="29" t="s">
        <v>289</v>
      </c>
      <c r="C52" s="30" t="str">
        <f>+RIGHT(Table4[[#This Row],[City]],2)</f>
        <v>TX</v>
      </c>
      <c r="D52" s="29" t="s">
        <v>98</v>
      </c>
      <c r="E52" s="37">
        <v>2018</v>
      </c>
      <c r="F52" s="29" t="s">
        <v>110</v>
      </c>
      <c r="G52" s="29" t="s">
        <v>1</v>
      </c>
      <c r="H52" s="38">
        <v>800000000</v>
      </c>
      <c r="I52" s="34">
        <v>1300000</v>
      </c>
      <c r="J52" s="39" t="s">
        <v>38</v>
      </c>
      <c r="K52" s="40">
        <v>0.76</v>
      </c>
      <c r="L52" s="34">
        <f>Table4[[#This Row],[Capacity]]*31.968*Table4[[#This Row],[Utilization]]</f>
        <v>31584384</v>
      </c>
      <c r="M52" s="35">
        <f>Table4[[#This Row],[NG Cons (Low) MMBTU]]/1000/1000/365</f>
        <v>8.6532558904109574E-2</v>
      </c>
      <c r="N52" s="34">
        <f>Table4[[#This Row],[Capacity]]*32.634*Table4[[#This Row],[Utilization]]</f>
        <v>32242392</v>
      </c>
      <c r="O52" s="35">
        <f>Table4[[#This Row],[NG Cons (High) MMBTU]]/1000/1000/365</f>
        <v>8.8335320547945212E-2</v>
      </c>
      <c r="P52" s="6"/>
    </row>
    <row r="53" spans="1:16" ht="15.75" customHeight="1" x14ac:dyDescent="0.3">
      <c r="A53" s="29" t="s">
        <v>274</v>
      </c>
      <c r="B53" s="29" t="s">
        <v>109</v>
      </c>
      <c r="C53" s="30" t="str">
        <f>+RIGHT(Table4[[#This Row],[City]],2)</f>
        <v>TX</v>
      </c>
      <c r="D53" s="29" t="s">
        <v>98</v>
      </c>
      <c r="E53" s="29">
        <v>2015</v>
      </c>
      <c r="F53" s="29" t="s">
        <v>69</v>
      </c>
      <c r="G53" s="29" t="s">
        <v>1</v>
      </c>
      <c r="H53" s="38">
        <v>910000000</v>
      </c>
      <c r="I53" s="34">
        <v>1400000</v>
      </c>
      <c r="J53" s="39" t="s">
        <v>38</v>
      </c>
      <c r="K53" s="40">
        <v>0.76</v>
      </c>
      <c r="L53" s="34">
        <f>Table4[[#This Row],[Capacity]]*31.968*Table4[[#This Row],[Utilization]]</f>
        <v>34013952</v>
      </c>
      <c r="M53" s="35">
        <f>Table4[[#This Row],[NG Cons (Low) MMBTU]]/1000/1000/365</f>
        <v>9.318890958904108E-2</v>
      </c>
      <c r="N53" s="34">
        <f>Table4[[#This Row],[Capacity]]*32.634*Table4[[#This Row],[Utilization]]</f>
        <v>34722576</v>
      </c>
      <c r="O53" s="35">
        <f>Table4[[#This Row],[NG Cons (High) MMBTU]]/1000/1000/365</f>
        <v>9.5130345205479458E-2</v>
      </c>
      <c r="P53" s="6"/>
    </row>
    <row r="54" spans="1:16" ht="15.75" customHeight="1" x14ac:dyDescent="0.3">
      <c r="A54" s="29" t="s">
        <v>274</v>
      </c>
      <c r="B54" s="29" t="s">
        <v>289</v>
      </c>
      <c r="C54" s="30" t="str">
        <f>+RIGHT(Table4[[#This Row],[City]],2)</f>
        <v>TX</v>
      </c>
      <c r="D54" s="29" t="s">
        <v>98</v>
      </c>
      <c r="E54" s="29">
        <v>2020</v>
      </c>
      <c r="F54" s="29" t="s">
        <v>116</v>
      </c>
      <c r="G54" s="29" t="s">
        <v>1</v>
      </c>
      <c r="H54" s="38">
        <v>910000000</v>
      </c>
      <c r="I54" s="34">
        <v>1400000</v>
      </c>
      <c r="J54" s="32" t="s">
        <v>38</v>
      </c>
      <c r="K54" s="33">
        <v>0.76</v>
      </c>
      <c r="L54" s="34">
        <f>Table4[[#This Row],[Capacity]]*31.968*Table4[[#This Row],[Utilization]]</f>
        <v>34013952</v>
      </c>
      <c r="M54" s="35">
        <f>Table4[[#This Row],[NG Cons (Low) MMBTU]]/1000/1000/365</f>
        <v>9.318890958904108E-2</v>
      </c>
      <c r="N54" s="34">
        <f>Table4[[#This Row],[Capacity]]*32.634*Table4[[#This Row],[Utilization]]</f>
        <v>34722576</v>
      </c>
      <c r="O54" s="35">
        <f>Table4[[#This Row],[NG Cons (High) MMBTU]]/1000/1000/365</f>
        <v>9.5130345205479458E-2</v>
      </c>
      <c r="P54" s="6"/>
    </row>
    <row r="55" spans="1:16" ht="15.75" customHeight="1" x14ac:dyDescent="0.3">
      <c r="A55" s="29" t="s">
        <v>106</v>
      </c>
      <c r="B55" s="29" t="s">
        <v>104</v>
      </c>
      <c r="C55" s="30" t="str">
        <f>+RIGHT(Table4[[#This Row],[City]],2)</f>
        <v>IA</v>
      </c>
      <c r="D55" s="29" t="s">
        <v>312</v>
      </c>
      <c r="E55" s="29">
        <v>2016</v>
      </c>
      <c r="F55" s="29" t="s">
        <v>69</v>
      </c>
      <c r="G55" s="29" t="s">
        <v>5</v>
      </c>
      <c r="H55" s="38">
        <v>1700000000</v>
      </c>
      <c r="I55" s="34">
        <v>800000</v>
      </c>
      <c r="J55" s="39" t="s">
        <v>38</v>
      </c>
      <c r="K55" s="40">
        <v>0.76</v>
      </c>
      <c r="L55" s="34">
        <f>Table4[[#This Row],[Capacity]]*30.87*Table4[[#This Row],[Utilization]]</f>
        <v>18768960</v>
      </c>
      <c r="M55" s="35">
        <f>Table4[[#This Row],[NG Cons (Low) MMBTU]]/1000/1000/365</f>
        <v>5.1421808219178085E-2</v>
      </c>
      <c r="N55" s="34">
        <f>Table4[[#This Row],[Capacity]]*36.58</f>
        <v>29264000</v>
      </c>
      <c r="O55" s="35">
        <f>Table4[[#This Row],[NG Cons (High) MMBTU]]/1000/1000/365</f>
        <v>8.0175342465753419E-2</v>
      </c>
      <c r="P55" s="6"/>
    </row>
    <row r="56" spans="1:16" ht="15.75" customHeight="1" x14ac:dyDescent="0.3">
      <c r="A56" s="29" t="s">
        <v>106</v>
      </c>
      <c r="B56" s="29" t="s">
        <v>107</v>
      </c>
      <c r="C56" s="30" t="str">
        <f>+RIGHT(Table4[[#This Row],[City]],2)</f>
        <v>LA</v>
      </c>
      <c r="D56" s="29" t="s">
        <v>312</v>
      </c>
      <c r="E56" s="29">
        <v>2016</v>
      </c>
      <c r="F56" s="29" t="s">
        <v>69</v>
      </c>
      <c r="G56" s="29" t="s">
        <v>5</v>
      </c>
      <c r="H56" s="38">
        <v>2100000000</v>
      </c>
      <c r="I56" s="34">
        <v>1800000</v>
      </c>
      <c r="J56" s="39" t="s">
        <v>38</v>
      </c>
      <c r="K56" s="40">
        <v>0.76</v>
      </c>
      <c r="L56" s="34">
        <f>Table4[[#This Row],[Capacity]]*30.87*Table4[[#This Row],[Utilization]]</f>
        <v>42230160</v>
      </c>
      <c r="M56" s="35">
        <f>Table4[[#This Row],[NG Cons (Low) MMBTU]]/1000/1000/365</f>
        <v>0.1156990684931507</v>
      </c>
      <c r="N56" s="34">
        <f>Table4[[#This Row],[Capacity]]*36.58</f>
        <v>65844000</v>
      </c>
      <c r="O56" s="35">
        <f>Table4[[#This Row],[NG Cons (High) MMBTU]]/1000/1000/365</f>
        <v>0.18039452054794519</v>
      </c>
      <c r="P56" s="6"/>
    </row>
    <row r="57" spans="1:16" ht="15.75" customHeight="1" x14ac:dyDescent="0.3">
      <c r="A57" s="29" t="s">
        <v>142</v>
      </c>
      <c r="B57" s="29" t="s">
        <v>135</v>
      </c>
      <c r="C57" s="30" t="str">
        <f>+RIGHT(Table4[[#This Row],[City]],2)</f>
        <v>OH</v>
      </c>
      <c r="D57" s="29" t="s">
        <v>133</v>
      </c>
      <c r="E57" s="29">
        <v>2013</v>
      </c>
      <c r="F57" s="29" t="s">
        <v>69</v>
      </c>
      <c r="G57" s="29" t="s">
        <v>1</v>
      </c>
      <c r="H57" s="38">
        <v>900000000</v>
      </c>
      <c r="I57" s="34">
        <v>90000</v>
      </c>
      <c r="J57" s="39" t="s">
        <v>76</v>
      </c>
      <c r="K57" s="40">
        <v>0.76</v>
      </c>
      <c r="L57" s="34"/>
      <c r="M57" s="35">
        <f>Table4[[#This Row],[NG Cons (Low) MMBTU]]/1000/1000/365</f>
        <v>0</v>
      </c>
      <c r="N57" s="34"/>
      <c r="O57" s="35">
        <f>Table4[[#This Row],[NG Cons (High) MMBTU]]/1000/1000/365</f>
        <v>0</v>
      </c>
      <c r="P57" s="6"/>
    </row>
    <row r="58" spans="1:16" ht="15.75" customHeight="1" x14ac:dyDescent="0.3">
      <c r="A58" s="29" t="s">
        <v>339</v>
      </c>
      <c r="B58" s="29" t="s">
        <v>148</v>
      </c>
      <c r="C58" s="30" t="str">
        <f>+RIGHT(Table4[[#This Row],[City]],2)</f>
        <v>TX</v>
      </c>
      <c r="D58" s="29" t="s">
        <v>315</v>
      </c>
      <c r="E58" s="39">
        <v>2014</v>
      </c>
      <c r="F58" s="29" t="s">
        <v>69</v>
      </c>
      <c r="G58" s="29" t="s">
        <v>5</v>
      </c>
      <c r="H58" s="38">
        <v>165000000</v>
      </c>
      <c r="I58" s="34">
        <v>90718</v>
      </c>
      <c r="J58" s="39" t="s">
        <v>38</v>
      </c>
      <c r="K58" s="40">
        <v>0.76</v>
      </c>
      <c r="L58" s="34">
        <f>19.3*Table4[[#This Row],[Capacity]]*Table4[[#This Row],[Utilization]]</f>
        <v>1330651.6240000001</v>
      </c>
      <c r="M58" s="35">
        <f>Table4[[#This Row],[NG Cons (Low) MMBTU]]/1000/1000/365</f>
        <v>3.6456208876712334E-3</v>
      </c>
      <c r="N58" s="34">
        <f>Table4[[#This Row],[Capacity]]*30.87*Table4[[#This Row],[Utilization]]</f>
        <v>2128353.1416000002</v>
      </c>
      <c r="O58" s="35">
        <f>Table4[[#This Row],[NG Cons (High) MMBTU]]/1000/1000/365</f>
        <v>5.8311044975342466E-3</v>
      </c>
      <c r="P58" s="6"/>
    </row>
    <row r="59" spans="1:16" ht="15.75" customHeight="1" x14ac:dyDescent="0.3">
      <c r="A59" s="29" t="s">
        <v>339</v>
      </c>
      <c r="B59" s="29" t="s">
        <v>128</v>
      </c>
      <c r="C59" s="30" t="str">
        <f>+RIGHT(Table4[[#This Row],[City]],2)</f>
        <v>TX</v>
      </c>
      <c r="D59" s="29" t="s">
        <v>315</v>
      </c>
      <c r="E59" s="29">
        <v>2017</v>
      </c>
      <c r="F59" s="29" t="s">
        <v>0</v>
      </c>
      <c r="G59" s="29" t="s">
        <v>1</v>
      </c>
      <c r="H59" s="38">
        <f>6000000000-444000000</f>
        <v>5556000000</v>
      </c>
      <c r="I59" s="34">
        <v>1500000</v>
      </c>
      <c r="J59" s="39" t="s">
        <v>38</v>
      </c>
      <c r="K59" s="40">
        <v>0.76</v>
      </c>
      <c r="L59" s="34">
        <f>19.3*Table4[[#This Row],[Capacity]]*Table4[[#This Row],[Utilization]]</f>
        <v>22002000</v>
      </c>
      <c r="M59" s="35">
        <f>Table4[[#This Row],[NG Cons (Low) MMBTU]]/1000/1000/365</f>
        <v>6.027945205479452E-2</v>
      </c>
      <c r="N59" s="34">
        <f>Table4[[#This Row],[Capacity]]*30.87*Table4[[#This Row],[Utilization]]</f>
        <v>35191800</v>
      </c>
      <c r="O59" s="35">
        <f>Table4[[#This Row],[NG Cons (High) MMBTU]]/1000/1000/365</f>
        <v>9.641589041095891E-2</v>
      </c>
      <c r="P59" s="6"/>
    </row>
    <row r="60" spans="1:16" ht="15.75" customHeight="1" x14ac:dyDescent="0.3">
      <c r="A60" s="29" t="s">
        <v>339</v>
      </c>
      <c r="B60" s="29" t="s">
        <v>148</v>
      </c>
      <c r="C60" s="30" t="str">
        <f>+RIGHT(Table4[[#This Row],[City]],2)</f>
        <v>TX</v>
      </c>
      <c r="D60" s="29" t="s">
        <v>133</v>
      </c>
      <c r="E60" s="29">
        <v>2013</v>
      </c>
      <c r="F60" s="29" t="s">
        <v>69</v>
      </c>
      <c r="G60" s="29" t="s">
        <v>5</v>
      </c>
      <c r="H60" s="38">
        <v>110000000</v>
      </c>
      <c r="I60" s="34">
        <v>22000</v>
      </c>
      <c r="J60" s="39" t="s">
        <v>76</v>
      </c>
      <c r="K60" s="40">
        <v>0.76</v>
      </c>
      <c r="L60" s="34"/>
      <c r="M60" s="35">
        <f>Table4[[#This Row],[NG Cons (Low) MMBTU]]/1000/1000/365</f>
        <v>0</v>
      </c>
      <c r="N60" s="34"/>
      <c r="O60" s="35">
        <f>Table4[[#This Row],[NG Cons (High) MMBTU]]/1000/1000/365</f>
        <v>0</v>
      </c>
      <c r="P60" s="6"/>
    </row>
    <row r="61" spans="1:16" ht="15.75" customHeight="1" x14ac:dyDescent="0.3">
      <c r="A61" s="29" t="s">
        <v>339</v>
      </c>
      <c r="B61" s="29" t="s">
        <v>128</v>
      </c>
      <c r="C61" s="30" t="str">
        <f>+RIGHT(Table4[[#This Row],[City]],2)</f>
        <v>TX</v>
      </c>
      <c r="D61" s="29" t="s">
        <v>4</v>
      </c>
      <c r="E61" s="39">
        <v>2014</v>
      </c>
      <c r="F61" s="29" t="s">
        <v>69</v>
      </c>
      <c r="G61" s="29" t="s">
        <v>1</v>
      </c>
      <c r="H61" s="38">
        <v>250000000</v>
      </c>
      <c r="I61" s="34">
        <v>250000</v>
      </c>
      <c r="J61" s="39" t="s">
        <v>38</v>
      </c>
      <c r="K61" s="40">
        <v>0.76</v>
      </c>
      <c r="L61" s="34"/>
      <c r="M61" s="35">
        <f>Table4[[#This Row],[NG Cons (Low) MMBTU]]/1000/1000/365</f>
        <v>0</v>
      </c>
      <c r="N61" s="34"/>
      <c r="O61" s="35">
        <f>Table4[[#This Row],[NG Cons (High) MMBTU]]/1000/1000/365</f>
        <v>0</v>
      </c>
      <c r="P61" s="6"/>
    </row>
    <row r="62" spans="1:16" ht="15.75" customHeight="1" x14ac:dyDescent="0.3">
      <c r="A62" s="29" t="s">
        <v>339</v>
      </c>
      <c r="B62" s="29" t="s">
        <v>128</v>
      </c>
      <c r="C62" s="30" t="str">
        <f>+RIGHT(Table4[[#This Row],[City]],2)</f>
        <v>TX</v>
      </c>
      <c r="D62" s="29" t="s">
        <v>4</v>
      </c>
      <c r="E62" s="37">
        <v>2015</v>
      </c>
      <c r="F62" s="29" t="s">
        <v>110</v>
      </c>
      <c r="G62" s="29" t="s">
        <v>5</v>
      </c>
      <c r="H62" s="38">
        <v>125000000</v>
      </c>
      <c r="I62" s="34">
        <v>100000</v>
      </c>
      <c r="J62" s="39" t="s">
        <v>38</v>
      </c>
      <c r="K62" s="40">
        <v>0.76</v>
      </c>
      <c r="L62" s="34"/>
      <c r="M62" s="35"/>
      <c r="N62" s="34"/>
      <c r="O62" s="35"/>
      <c r="P62" s="6"/>
    </row>
    <row r="63" spans="1:16" ht="15.75" customHeight="1" x14ac:dyDescent="0.3">
      <c r="A63" s="29" t="s">
        <v>339</v>
      </c>
      <c r="B63" s="29" t="s">
        <v>148</v>
      </c>
      <c r="C63" s="30" t="str">
        <f>+RIGHT(Table4[[#This Row],[City]],2)</f>
        <v>TX</v>
      </c>
      <c r="D63" s="29" t="s">
        <v>4</v>
      </c>
      <c r="E63" s="37" t="s">
        <v>37</v>
      </c>
      <c r="F63" s="29" t="s">
        <v>84</v>
      </c>
      <c r="G63" s="29" t="s">
        <v>1</v>
      </c>
      <c r="H63" s="38"/>
      <c r="I63" s="34"/>
      <c r="J63" s="39"/>
      <c r="K63" s="40">
        <v>0.76</v>
      </c>
      <c r="L63" s="34"/>
      <c r="M63" s="35"/>
      <c r="N63" s="34"/>
      <c r="O63" s="35">
        <f>Table4[[#This Row],[NG Cons (High) MMBTU]]/1000/1000/365</f>
        <v>0</v>
      </c>
      <c r="P63" s="6"/>
    </row>
    <row r="64" spans="1:16" ht="15.75" customHeight="1" x14ac:dyDescent="0.3">
      <c r="A64" s="29" t="s">
        <v>339</v>
      </c>
      <c r="B64" s="29" t="s">
        <v>148</v>
      </c>
      <c r="C64" s="30" t="str">
        <f>+RIGHT(Table4[[#This Row],[City]],2)</f>
        <v>TX</v>
      </c>
      <c r="D64" s="29" t="s">
        <v>120</v>
      </c>
      <c r="E64" s="29">
        <v>2017</v>
      </c>
      <c r="F64" s="29" t="s">
        <v>0</v>
      </c>
      <c r="G64" s="29" t="s">
        <v>1</v>
      </c>
      <c r="H64" s="38">
        <f>444*I64</f>
        <v>222000000</v>
      </c>
      <c r="I64" s="34">
        <v>500000</v>
      </c>
      <c r="J64" s="39" t="s">
        <v>38</v>
      </c>
      <c r="K64" s="40">
        <v>0.76</v>
      </c>
      <c r="L64" s="34">
        <f>Table4[[#This Row],[Capacity]]*4.8*Table4[[#This Row],[Utilization]]</f>
        <v>1824000</v>
      </c>
      <c r="M64" s="35">
        <f>Table4[[#This Row],[NG Cons (Low) MMBTU]]/1000/1000/365</f>
        <v>4.9972602739726032E-3</v>
      </c>
      <c r="N64" s="34">
        <f>Table4[[#This Row],[NG Cons (Low) MMBTU]]</f>
        <v>1824000</v>
      </c>
      <c r="O64" s="35">
        <f>Table4[[#This Row],[NG Cons (High) MMBTU]]/1000/1000/365</f>
        <v>4.9972602739726032E-3</v>
      </c>
      <c r="P64" s="6"/>
    </row>
    <row r="65" spans="1:16" ht="15.75" customHeight="1" x14ac:dyDescent="0.3">
      <c r="A65" s="29" t="s">
        <v>339</v>
      </c>
      <c r="B65" s="29" t="s">
        <v>148</v>
      </c>
      <c r="C65" s="30" t="str">
        <f>+RIGHT(Table4[[#This Row],[City]],2)</f>
        <v>TX</v>
      </c>
      <c r="D65" s="29" t="s">
        <v>120</v>
      </c>
      <c r="E65" s="29">
        <v>2017</v>
      </c>
      <c r="F65" s="29" t="s">
        <v>0</v>
      </c>
      <c r="G65" s="29" t="s">
        <v>1</v>
      </c>
      <c r="H65" s="38">
        <f>444*I65</f>
        <v>222000000</v>
      </c>
      <c r="I65" s="34">
        <v>500000</v>
      </c>
      <c r="J65" s="39" t="s">
        <v>38</v>
      </c>
      <c r="K65" s="40">
        <v>0.76</v>
      </c>
      <c r="L65" s="34">
        <f>Table4[[#This Row],[Capacity]]*4.8*Table4[[#This Row],[Utilization]]</f>
        <v>1824000</v>
      </c>
      <c r="M65" s="35">
        <f>Table4[[#This Row],[NG Cons (Low) MMBTU]]/1000/1000/365</f>
        <v>4.9972602739726032E-3</v>
      </c>
      <c r="N65" s="34">
        <f>Table4[[#This Row],[NG Cons (Low) MMBTU]]</f>
        <v>1824000</v>
      </c>
      <c r="O65" s="35">
        <f>Table4[[#This Row],[NG Cons (High) MMBTU]]/1000/1000/365</f>
        <v>4.9972602739726032E-3</v>
      </c>
      <c r="P65" s="6"/>
    </row>
    <row r="66" spans="1:16" ht="15.75" customHeight="1" x14ac:dyDescent="0.3">
      <c r="A66" s="29" t="s">
        <v>94</v>
      </c>
      <c r="B66" s="29" t="s">
        <v>93</v>
      </c>
      <c r="C66" s="30" t="str">
        <f>+RIGHT(Table4[[#This Row],[City]],2)</f>
        <v>ND</v>
      </c>
      <c r="D66" s="29" t="s">
        <v>312</v>
      </c>
      <c r="E66" s="29">
        <v>2018</v>
      </c>
      <c r="F66" s="29" t="s">
        <v>227</v>
      </c>
      <c r="G66" s="29" t="s">
        <v>1</v>
      </c>
      <c r="H66" s="38">
        <v>3000000000</v>
      </c>
      <c r="I66" s="34">
        <v>876000</v>
      </c>
      <c r="J66" s="39" t="s">
        <v>38</v>
      </c>
      <c r="K66" s="40">
        <v>0.76</v>
      </c>
      <c r="L66" s="34">
        <f>Table4[[#This Row],[Capacity]]*30.87*Table4[[#This Row],[Utilization]]</f>
        <v>20552011.199999999</v>
      </c>
      <c r="M66" s="35">
        <f>Table4[[#This Row],[NG Cons (Low) MMBTU]]/1000/1000/365</f>
        <v>5.6306880000000011E-2</v>
      </c>
      <c r="N66" s="34">
        <f>Table4[[#This Row],[Capacity]]*36.58</f>
        <v>32044080</v>
      </c>
      <c r="O66" s="35">
        <f>Table4[[#This Row],[NG Cons (High) MMBTU]]/1000/1000/365</f>
        <v>8.7792000000000009E-2</v>
      </c>
      <c r="P66" s="6"/>
    </row>
    <row r="67" spans="1:16" ht="15.75" customHeight="1" x14ac:dyDescent="0.3">
      <c r="A67" s="29" t="s">
        <v>55</v>
      </c>
      <c r="B67" s="29"/>
      <c r="C67" s="30" t="s">
        <v>399</v>
      </c>
      <c r="D67" s="29" t="s">
        <v>40</v>
      </c>
      <c r="E67" s="29">
        <v>2012</v>
      </c>
      <c r="F67" s="29" t="s">
        <v>247</v>
      </c>
      <c r="G67" s="29" t="s">
        <v>5</v>
      </c>
      <c r="H67" s="38">
        <v>12700000</v>
      </c>
      <c r="I67" s="34">
        <v>12000</v>
      </c>
      <c r="J67" s="39" t="s">
        <v>38</v>
      </c>
      <c r="K67" s="40">
        <v>0.76</v>
      </c>
      <c r="L67" s="34">
        <f>Table4[[#This Row],[Capacity]]*2</f>
        <v>24000</v>
      </c>
      <c r="M67" s="35">
        <f>Table4[[#This Row],[NG Cons (Low) MMBTU]]/1000/1000/365</f>
        <v>6.5753424657534254E-5</v>
      </c>
      <c r="N67" s="34">
        <f>Table4[[#This Row],[NG Cons (Low) MMBTU]]</f>
        <v>24000</v>
      </c>
      <c r="O67" s="35">
        <f>Table4[[#This Row],[NG Cons (High) MMBTU]]/1000/1000/365</f>
        <v>6.5753424657534254E-5</v>
      </c>
      <c r="P67" s="6"/>
    </row>
    <row r="68" spans="1:16" ht="15.75" customHeight="1" x14ac:dyDescent="0.3">
      <c r="A68" s="29" t="s">
        <v>360</v>
      </c>
      <c r="B68" s="29" t="s">
        <v>118</v>
      </c>
      <c r="C68" s="30" t="str">
        <f>+RIGHT(Table4[[#This Row],[City]],2)</f>
        <v>TX</v>
      </c>
      <c r="D68" s="29" t="s">
        <v>98</v>
      </c>
      <c r="E68" s="39">
        <v>2020</v>
      </c>
      <c r="F68" s="29" t="s">
        <v>116</v>
      </c>
      <c r="G68" s="29" t="s">
        <v>1</v>
      </c>
      <c r="H68" s="38">
        <v>4500000000</v>
      </c>
      <c r="I68" s="34">
        <v>7200000</v>
      </c>
      <c r="J68" s="39" t="s">
        <v>359</v>
      </c>
      <c r="K68" s="40">
        <v>0.76</v>
      </c>
      <c r="L68" s="34">
        <f>Table4[[#This Row],[Capacity]]*31.968*Table4[[#This Row],[Utilization]]</f>
        <v>174928896</v>
      </c>
      <c r="M68" s="35">
        <f>Table4[[#This Row],[NG Cons (Low) MMBTU]]/1000/1000/365</f>
        <v>0.47925724931506852</v>
      </c>
      <c r="N68" s="34">
        <f>Table4[[#This Row],[Capacity]]*32.634*Table4[[#This Row],[Utilization]]</f>
        <v>178573248</v>
      </c>
      <c r="O68" s="35">
        <f>Table4[[#This Row],[NG Cons (High) MMBTU]]/1000/1000/365</f>
        <v>0.48924177534246571</v>
      </c>
      <c r="P68" s="6"/>
    </row>
    <row r="69" spans="1:16" ht="15.75" customHeight="1" x14ac:dyDescent="0.3">
      <c r="A69" s="29" t="s">
        <v>30</v>
      </c>
      <c r="B69" s="29" t="s">
        <v>29</v>
      </c>
      <c r="C69" s="30" t="str">
        <f>+RIGHT(Table4[[#This Row],[City]],2)</f>
        <v>SC</v>
      </c>
      <c r="D69" s="29" t="s">
        <v>168</v>
      </c>
      <c r="E69" s="29">
        <v>2013</v>
      </c>
      <c r="F69" s="29" t="s">
        <v>69</v>
      </c>
      <c r="G69" s="29" t="s">
        <v>1</v>
      </c>
      <c r="H69" s="38">
        <v>500000000</v>
      </c>
      <c r="I69" s="34"/>
      <c r="J69" s="29"/>
      <c r="K69" s="40"/>
      <c r="L69" s="34"/>
      <c r="M69" s="35">
        <f>Table4[[#This Row],[NG Cons (Low) MMBTU]]/1000/1000/365</f>
        <v>0</v>
      </c>
      <c r="N69" s="34"/>
      <c r="O69" s="35">
        <f>Table4[[#This Row],[NG Cons (High) MMBTU]]/1000/1000/365</f>
        <v>0</v>
      </c>
      <c r="P69" s="6"/>
    </row>
    <row r="70" spans="1:16" ht="15.75" customHeight="1" x14ac:dyDescent="0.3">
      <c r="A70" s="29" t="s">
        <v>185</v>
      </c>
      <c r="B70" s="29" t="s">
        <v>186</v>
      </c>
      <c r="C70" s="30" t="str">
        <f>+RIGHT(Table4[[#This Row],[City]],2)</f>
        <v>IL</v>
      </c>
      <c r="D70" s="29" t="s">
        <v>312</v>
      </c>
      <c r="E70" s="37">
        <v>2019</v>
      </c>
      <c r="F70" s="29" t="s">
        <v>110</v>
      </c>
      <c r="G70" s="29" t="s">
        <v>1</v>
      </c>
      <c r="H70" s="38">
        <v>1500000000</v>
      </c>
      <c r="I70" s="34">
        <v>1400000</v>
      </c>
      <c r="J70" s="39" t="s">
        <v>38</v>
      </c>
      <c r="K70" s="40">
        <v>0.76</v>
      </c>
      <c r="L70" s="34">
        <f>Table4[[#This Row],[Capacity]]*30.87*Table4[[#This Row],[Utilization]]</f>
        <v>32845680</v>
      </c>
      <c r="M70" s="35">
        <f>Table4[[#This Row],[NG Cons (Low) MMBTU]]/1000/1000/365</f>
        <v>8.998816438356165E-2</v>
      </c>
      <c r="N70" s="34">
        <f>Table4[[#This Row],[Capacity]]*36.58</f>
        <v>51212000</v>
      </c>
      <c r="O70" s="35">
        <f>Table4[[#This Row],[NG Cons (High) MMBTU]]/1000/1000/365</f>
        <v>0.14030684931506851</v>
      </c>
      <c r="P70" s="6"/>
    </row>
    <row r="71" spans="1:16" ht="15.75" customHeight="1" x14ac:dyDescent="0.3">
      <c r="A71" s="29" t="s">
        <v>400</v>
      </c>
      <c r="B71" s="29" t="s">
        <v>136</v>
      </c>
      <c r="C71" s="30" t="str">
        <f>+RIGHT(Table4[[#This Row],[City]],2)</f>
        <v>LA</v>
      </c>
      <c r="D71" s="29" t="s">
        <v>133</v>
      </c>
      <c r="E71" s="29">
        <v>2014</v>
      </c>
      <c r="F71" s="29" t="s">
        <v>0</v>
      </c>
      <c r="G71" s="29" t="s">
        <v>5</v>
      </c>
      <c r="H71" s="38" t="s">
        <v>105</v>
      </c>
      <c r="I71" s="34">
        <v>50000</v>
      </c>
      <c r="J71" s="39" t="s">
        <v>76</v>
      </c>
      <c r="K71" s="40">
        <v>0.76</v>
      </c>
      <c r="L71" s="34"/>
      <c r="M71" s="35"/>
      <c r="N71" s="34"/>
      <c r="O71" s="35"/>
      <c r="P71" s="6"/>
    </row>
    <row r="72" spans="1:16" ht="15.75" customHeight="1" x14ac:dyDescent="0.3">
      <c r="A72" s="29" t="s">
        <v>137</v>
      </c>
      <c r="B72" s="29" t="s">
        <v>136</v>
      </c>
      <c r="C72" s="30" t="str">
        <f>+RIGHT(Table4[[#This Row],[City]],2)</f>
        <v>LA</v>
      </c>
      <c r="D72" s="29" t="s">
        <v>133</v>
      </c>
      <c r="E72" s="29">
        <v>2013</v>
      </c>
      <c r="F72" s="29" t="s">
        <v>69</v>
      </c>
      <c r="G72" s="29" t="s">
        <v>57</v>
      </c>
      <c r="H72" s="38">
        <v>7600000</v>
      </c>
      <c r="I72" s="34">
        <v>15000</v>
      </c>
      <c r="J72" s="39" t="s">
        <v>76</v>
      </c>
      <c r="K72" s="40">
        <v>0.76</v>
      </c>
      <c r="L72" s="34"/>
      <c r="M72" s="35">
        <f>Table4[[#This Row],[NG Cons (Low) MMBTU]]/1000/1000/365</f>
        <v>0</v>
      </c>
      <c r="N72" s="34"/>
      <c r="O72" s="35">
        <f>Table4[[#This Row],[NG Cons (High) MMBTU]]/1000/1000/365</f>
        <v>0</v>
      </c>
      <c r="P72" s="6"/>
    </row>
    <row r="73" spans="1:16" ht="15.75" customHeight="1" x14ac:dyDescent="0.3">
      <c r="A73" s="29" t="s">
        <v>187</v>
      </c>
      <c r="B73" s="29" t="s">
        <v>189</v>
      </c>
      <c r="C73" s="30" t="str">
        <f>+RIGHT(Table4[[#This Row],[City]],2)</f>
        <v>TX</v>
      </c>
      <c r="D73" s="29" t="s">
        <v>4</v>
      </c>
      <c r="E73" s="29">
        <v>2015</v>
      </c>
      <c r="F73" s="29" t="s">
        <v>0</v>
      </c>
      <c r="G73" s="29" t="s">
        <v>5</v>
      </c>
      <c r="H73" s="38">
        <v>6800000</v>
      </c>
      <c r="I73" s="34"/>
      <c r="J73" s="39"/>
      <c r="K73" s="40">
        <v>0.76</v>
      </c>
      <c r="L73" s="34"/>
      <c r="M73" s="35"/>
      <c r="N73" s="34"/>
      <c r="O73" s="35"/>
      <c r="P73" s="6"/>
    </row>
    <row r="74" spans="1:16" ht="15.75" customHeight="1" x14ac:dyDescent="0.3">
      <c r="A74" s="29" t="s">
        <v>187</v>
      </c>
      <c r="B74" s="29" t="s">
        <v>188</v>
      </c>
      <c r="C74" s="30" t="str">
        <f>+RIGHT(Table4[[#This Row],[City]],2)</f>
        <v>SC</v>
      </c>
      <c r="D74" s="29" t="s">
        <v>4</v>
      </c>
      <c r="E74" s="29">
        <v>2013</v>
      </c>
      <c r="F74" s="29" t="s">
        <v>69</v>
      </c>
      <c r="G74" s="29" t="s">
        <v>57</v>
      </c>
      <c r="H74" s="38"/>
      <c r="I74" s="34"/>
      <c r="J74" s="39"/>
      <c r="K74" s="40">
        <v>0.76</v>
      </c>
      <c r="L74" s="34"/>
      <c r="M74" s="35">
        <f>Table4[[#This Row],[NG Cons (Low) MMBTU]]/1000/1000/365</f>
        <v>0</v>
      </c>
      <c r="N74" s="34"/>
      <c r="O74" s="35">
        <f>Table4[[#This Row],[NG Cons (High) MMBTU]]/1000/1000/365</f>
        <v>0</v>
      </c>
      <c r="P74" s="6"/>
    </row>
    <row r="75" spans="1:16" ht="15.75" customHeight="1" x14ac:dyDescent="0.3">
      <c r="A75" s="29" t="s">
        <v>290</v>
      </c>
      <c r="B75" s="29" t="s">
        <v>90</v>
      </c>
      <c r="C75" s="30" t="str">
        <f>+RIGHT(Table4[[#This Row],[City]],2)</f>
        <v>ND</v>
      </c>
      <c r="D75" s="29" t="s">
        <v>312</v>
      </c>
      <c r="E75" s="29">
        <v>2017</v>
      </c>
      <c r="F75" s="29" t="s">
        <v>0</v>
      </c>
      <c r="G75" s="29" t="s">
        <v>1</v>
      </c>
      <c r="H75" s="38">
        <v>500000000</v>
      </c>
      <c r="I75" s="34">
        <v>380000</v>
      </c>
      <c r="J75" s="39" t="s">
        <v>38</v>
      </c>
      <c r="K75" s="40">
        <v>0.76</v>
      </c>
      <c r="L75" s="34">
        <f>Table4[[#This Row],[Capacity]]*30.87*Table4[[#This Row],[Utilization]]</f>
        <v>8915256</v>
      </c>
      <c r="M75" s="35">
        <f>Table4[[#This Row],[NG Cons (Low) MMBTU]]/1000/1000/365</f>
        <v>2.4425358904109587E-2</v>
      </c>
      <c r="N75" s="34">
        <f>Table4[[#This Row],[Capacity]]*36.58</f>
        <v>13900400</v>
      </c>
      <c r="O75" s="35">
        <f>Table4[[#This Row],[NG Cons (High) MMBTU]]/1000/1000/365</f>
        <v>3.8083287671232875E-2</v>
      </c>
      <c r="P75" s="6"/>
    </row>
    <row r="76" spans="1:16" ht="15.75" customHeight="1" x14ac:dyDescent="0.3">
      <c r="A76" s="29" t="s">
        <v>410</v>
      </c>
      <c r="B76" s="29" t="s">
        <v>269</v>
      </c>
      <c r="C76" s="30" t="str">
        <f>+RIGHT(Table4[[#This Row],[City]],2)</f>
        <v>ND</v>
      </c>
      <c r="D76" s="29" t="s">
        <v>267</v>
      </c>
      <c r="E76" s="37">
        <v>2014</v>
      </c>
      <c r="F76" s="29" t="s">
        <v>0</v>
      </c>
      <c r="G76" s="29" t="s">
        <v>1</v>
      </c>
      <c r="H76" s="38">
        <v>300000000</v>
      </c>
      <c r="I76" s="34">
        <v>20000</v>
      </c>
      <c r="J76" s="39" t="s">
        <v>268</v>
      </c>
      <c r="K76" s="40"/>
      <c r="L76" s="34"/>
      <c r="M76" s="35"/>
      <c r="N76" s="34"/>
      <c r="O76" s="35"/>
      <c r="P76" s="6"/>
    </row>
    <row r="77" spans="1:16" ht="15.75" customHeight="1" x14ac:dyDescent="0.3">
      <c r="A77" s="29" t="s">
        <v>284</v>
      </c>
      <c r="B77" s="29" t="s">
        <v>141</v>
      </c>
      <c r="C77" s="30" t="str">
        <f>+RIGHT(Table4[[#This Row],[City]],2)</f>
        <v>WV</v>
      </c>
      <c r="D77" s="29" t="s">
        <v>133</v>
      </c>
      <c r="E77" s="29">
        <v>2012</v>
      </c>
      <c r="F77" s="29" t="s">
        <v>247</v>
      </c>
      <c r="G77" s="29" t="s">
        <v>1</v>
      </c>
      <c r="H77" s="38">
        <v>275000000</v>
      </c>
      <c r="I77" s="34">
        <v>36000</v>
      </c>
      <c r="J77" s="39" t="s">
        <v>76</v>
      </c>
      <c r="K77" s="40">
        <v>0.76</v>
      </c>
      <c r="L77" s="34"/>
      <c r="M77" s="35">
        <f>Table4[[#This Row],[NG Cons (Low) MMBTU]]/1000/1000/365</f>
        <v>0</v>
      </c>
      <c r="N77" s="34"/>
      <c r="O77" s="35">
        <f>Table4[[#This Row],[NG Cons (High) MMBTU]]/1000/1000/365</f>
        <v>0</v>
      </c>
      <c r="P77" s="6"/>
    </row>
    <row r="78" spans="1:16" s="23" customFormat="1" ht="15.75" customHeight="1" x14ac:dyDescent="0.3">
      <c r="A78" s="29" t="s">
        <v>284</v>
      </c>
      <c r="B78" s="29" t="s">
        <v>141</v>
      </c>
      <c r="C78" s="30" t="str">
        <f>+RIGHT(Table4[[#This Row],[City]],2)</f>
        <v>WV</v>
      </c>
      <c r="D78" s="29" t="s">
        <v>133</v>
      </c>
      <c r="E78" s="29">
        <v>2013</v>
      </c>
      <c r="F78" s="29" t="s">
        <v>69</v>
      </c>
      <c r="G78" s="29" t="s">
        <v>1</v>
      </c>
      <c r="H78" s="38">
        <v>225000000</v>
      </c>
      <c r="I78" s="34">
        <v>30000</v>
      </c>
      <c r="J78" s="39" t="s">
        <v>76</v>
      </c>
      <c r="K78" s="40">
        <v>0.76</v>
      </c>
      <c r="L78" s="34"/>
      <c r="M78" s="35">
        <f>Table4[[#This Row],[NG Cons (Low) MMBTU]]/1000/1000/365</f>
        <v>0</v>
      </c>
      <c r="N78" s="34"/>
      <c r="O78" s="35">
        <f>Table4[[#This Row],[NG Cons (High) MMBTU]]/1000/1000/365</f>
        <v>0</v>
      </c>
    </row>
    <row r="79" spans="1:16" ht="15.75" customHeight="1" x14ac:dyDescent="0.3">
      <c r="A79" s="47" t="s">
        <v>127</v>
      </c>
      <c r="B79" s="47" t="s">
        <v>73</v>
      </c>
      <c r="C79" s="30" t="str">
        <f>+RIGHT(Table4[[#This Row],[City]],2)</f>
        <v>TX</v>
      </c>
      <c r="D79" s="47" t="s">
        <v>315</v>
      </c>
      <c r="E79" s="47">
        <v>2017</v>
      </c>
      <c r="F79" s="47" t="s">
        <v>0</v>
      </c>
      <c r="G79" s="47" t="s">
        <v>1</v>
      </c>
      <c r="H79" s="38">
        <v>3475000000</v>
      </c>
      <c r="I79" s="48">
        <v>1500000</v>
      </c>
      <c r="J79" s="47" t="s">
        <v>38</v>
      </c>
      <c r="K79" s="49">
        <v>0.76</v>
      </c>
      <c r="L79" s="48">
        <f>19.3*Table4[[#This Row],[Capacity]]*Table4[[#This Row],[Utilization]]</f>
        <v>22002000</v>
      </c>
      <c r="M79" s="50">
        <f>Table4[[#This Row],[NG Cons (Low) MMBTU]]/1000/1000/365</f>
        <v>6.027945205479452E-2</v>
      </c>
      <c r="N79" s="48">
        <f>Table4[[#This Row],[Capacity]]*30.87*Table4[[#This Row],[Utilization]]</f>
        <v>35191800</v>
      </c>
      <c r="O79" s="50">
        <f>Table4[[#This Row],[NG Cons (High) MMBTU]]/1000/1000/365</f>
        <v>9.641589041095891E-2</v>
      </c>
      <c r="P79" s="6"/>
    </row>
    <row r="80" spans="1:16" ht="15.75" customHeight="1" x14ac:dyDescent="0.3">
      <c r="A80" s="29" t="s">
        <v>127</v>
      </c>
      <c r="B80" s="29" t="s">
        <v>252</v>
      </c>
      <c r="C80" s="30" t="str">
        <f>+RIGHT(Table4[[#This Row],[City]],2)</f>
        <v>LA</v>
      </c>
      <c r="D80" s="29" t="s">
        <v>315</v>
      </c>
      <c r="E80" s="29">
        <v>2012</v>
      </c>
      <c r="F80" s="29" t="s">
        <v>247</v>
      </c>
      <c r="G80" s="29" t="s">
        <v>57</v>
      </c>
      <c r="H80" s="38">
        <v>300000000</v>
      </c>
      <c r="I80" s="34">
        <v>390000</v>
      </c>
      <c r="J80" s="39" t="s">
        <v>38</v>
      </c>
      <c r="K80" s="40">
        <v>0.76</v>
      </c>
      <c r="L80" s="34">
        <f>19.3*Table4[[#This Row],[Capacity]]*Table4[[#This Row],[Utilization]]</f>
        <v>5720520</v>
      </c>
      <c r="M80" s="35">
        <f>Table4[[#This Row],[NG Cons (Low) MMBTU]]/1000/1000/365</f>
        <v>1.5672657534246577E-2</v>
      </c>
      <c r="N80" s="34">
        <f>Table4[[#This Row],[Capacity]]*30.87*Table4[[#This Row],[Utilization]]</f>
        <v>9149868</v>
      </c>
      <c r="O80" s="35">
        <f>Table4[[#This Row],[NG Cons (High) MMBTU]]/1000/1000/365</f>
        <v>2.5068131506849313E-2</v>
      </c>
      <c r="P80" s="6"/>
    </row>
    <row r="81" spans="1:16" ht="15.75" customHeight="1" x14ac:dyDescent="0.3">
      <c r="A81" s="29" t="s">
        <v>127</v>
      </c>
      <c r="B81" s="29" t="s">
        <v>73</v>
      </c>
      <c r="C81" s="30" t="str">
        <f>+RIGHT(Table4[[#This Row],[City]],2)</f>
        <v>TX</v>
      </c>
      <c r="D81" s="29" t="s">
        <v>120</v>
      </c>
      <c r="E81" s="39">
        <v>2017</v>
      </c>
      <c r="F81" s="29" t="s">
        <v>0</v>
      </c>
      <c r="G81" s="29" t="s">
        <v>5</v>
      </c>
      <c r="H81" s="38">
        <f>+Table4[[#This Row],[Capacity]]*444</f>
        <v>466200000</v>
      </c>
      <c r="I81" s="34">
        <v>1050000</v>
      </c>
      <c r="J81" s="39" t="s">
        <v>38</v>
      </c>
      <c r="K81" s="33">
        <v>0.76</v>
      </c>
      <c r="L81" s="34">
        <f>Table4[[#This Row],[Capacity]]*4.8*Table4[[#This Row],[Utilization]]</f>
        <v>3830400</v>
      </c>
      <c r="M81" s="35">
        <f>Table4[[#This Row],[NG Cons (Low) MMBTU]]/1000/1000/365</f>
        <v>1.0494246575342465E-2</v>
      </c>
      <c r="N81" s="34">
        <f>Table4[[#This Row],[NG Cons (Low) MMBTU]]</f>
        <v>3830400</v>
      </c>
      <c r="O81" s="35">
        <f>Table4[[#This Row],[NG Cons (High) MMBTU]]/1000/1000/365</f>
        <v>1.0494246575342465E-2</v>
      </c>
      <c r="P81" s="6"/>
    </row>
    <row r="82" spans="1:16" ht="15.75" customHeight="1" x14ac:dyDescent="0.3">
      <c r="A82" s="29" t="s">
        <v>127</v>
      </c>
      <c r="B82" s="29" t="s">
        <v>8</v>
      </c>
      <c r="C82" s="30" t="str">
        <f>+RIGHT(Table4[[#This Row],[City]],2)</f>
        <v>LA</v>
      </c>
      <c r="D82" s="29" t="s">
        <v>120</v>
      </c>
      <c r="E82" s="29">
        <v>2016</v>
      </c>
      <c r="F82" s="29" t="s">
        <v>69</v>
      </c>
      <c r="G82" s="29" t="s">
        <v>1</v>
      </c>
      <c r="H82" s="38">
        <v>1060000000</v>
      </c>
      <c r="I82" s="34">
        <v>249929.39587000001</v>
      </c>
      <c r="J82" s="39" t="s">
        <v>38</v>
      </c>
      <c r="K82" s="40">
        <v>0.76</v>
      </c>
      <c r="L82" s="34">
        <f>Table4[[#This Row],[Capacity]]*4.8*Table4[[#This Row],[Utilization]]</f>
        <v>911742.43613376003</v>
      </c>
      <c r="M82" s="35">
        <f>Table4[[#This Row],[NG Cons (Low) MMBTU]]/1000/1000/365</f>
        <v>2.4979244825582467E-3</v>
      </c>
      <c r="N82" s="34">
        <f>Table4[[#This Row],[NG Cons (Low) MMBTU]]</f>
        <v>911742.43613376003</v>
      </c>
      <c r="O82" s="35">
        <f>Table4[[#This Row],[NG Cons (High) MMBTU]]/1000/1000/365</f>
        <v>2.4979244825582467E-3</v>
      </c>
      <c r="P82" s="6"/>
    </row>
    <row r="83" spans="1:16" ht="15.75" customHeight="1" x14ac:dyDescent="0.3">
      <c r="A83" s="29" t="s">
        <v>127</v>
      </c>
      <c r="B83" s="29" t="s">
        <v>73</v>
      </c>
      <c r="C83" s="30" t="str">
        <f>+RIGHT(Table4[[#This Row],[City]],2)</f>
        <v>TX</v>
      </c>
      <c r="D83" s="29" t="s">
        <v>117</v>
      </c>
      <c r="E83" s="29">
        <v>2015</v>
      </c>
      <c r="F83" s="29" t="s">
        <v>69</v>
      </c>
      <c r="G83" s="29" t="s">
        <v>1</v>
      </c>
      <c r="H83" s="38">
        <v>700000000</v>
      </c>
      <c r="I83" s="34">
        <v>750000</v>
      </c>
      <c r="J83" s="39" t="s">
        <v>38</v>
      </c>
      <c r="K83" s="40">
        <v>0.76</v>
      </c>
      <c r="L83" s="34">
        <f>Table4[[#This Row],[Capacity]]*6.615*Table4[[#This Row],[Utilization]]</f>
        <v>3770550</v>
      </c>
      <c r="M83" s="35">
        <f>Table4[[#This Row],[NG Cons (Low) MMBTU]]/1000/1000/365</f>
        <v>1.0330273972602741E-2</v>
      </c>
      <c r="N83" s="34">
        <f>Table4[[#This Row],[Capacity]]*13.23*Table4[[#This Row],[Utilization]]</f>
        <v>7541100</v>
      </c>
      <c r="O83" s="35">
        <f>Table4[[#This Row],[NG Cons (High) MMBTU]]/1000/1000/365</f>
        <v>2.0660547945205481E-2</v>
      </c>
      <c r="P83" s="6"/>
    </row>
    <row r="84" spans="1:16" ht="15.75" customHeight="1" x14ac:dyDescent="0.3">
      <c r="A84" s="29" t="s">
        <v>280</v>
      </c>
      <c r="B84" s="29" t="s">
        <v>73</v>
      </c>
      <c r="C84" s="30" t="str">
        <f>+RIGHT(Table4[[#This Row],[City]],2)</f>
        <v>TX</v>
      </c>
      <c r="D84" s="29" t="s">
        <v>117</v>
      </c>
      <c r="E84" s="29">
        <v>2017</v>
      </c>
      <c r="F84" s="29" t="s">
        <v>0</v>
      </c>
      <c r="G84" s="29" t="s">
        <v>1</v>
      </c>
      <c r="H84" s="38">
        <v>700000000</v>
      </c>
      <c r="I84" s="34">
        <v>750000</v>
      </c>
      <c r="J84" s="39" t="s">
        <v>38</v>
      </c>
      <c r="K84" s="40">
        <v>0.76</v>
      </c>
      <c r="L84" s="34">
        <f>Table4[[#This Row],[Capacity]]*6.615*Table4[[#This Row],[Utilization]]</f>
        <v>3770550</v>
      </c>
      <c r="M84" s="35">
        <f>Table4[[#This Row],[NG Cons (Low) MMBTU]]/1000/1000/365</f>
        <v>1.0330273972602741E-2</v>
      </c>
      <c r="N84" s="34">
        <f>Table4[[#This Row],[Capacity]]*13.23*Table4[[#This Row],[Utilization]]</f>
        <v>7541100</v>
      </c>
      <c r="O84" s="35">
        <f>Table4[[#This Row],[NG Cons (High) MMBTU]]/1000/1000/365</f>
        <v>2.0660547945205481E-2</v>
      </c>
      <c r="P84" s="6"/>
    </row>
    <row r="85" spans="1:16" ht="15.75" customHeight="1" x14ac:dyDescent="0.3">
      <c r="A85" s="29" t="s">
        <v>74</v>
      </c>
      <c r="B85" s="29" t="s">
        <v>73</v>
      </c>
      <c r="C85" s="30" t="str">
        <f>+RIGHT(Table4[[#This Row],[City]],2)</f>
        <v>TX</v>
      </c>
      <c r="D85" s="29" t="s">
        <v>67</v>
      </c>
      <c r="E85" s="29">
        <v>2014</v>
      </c>
      <c r="F85" s="29" t="s">
        <v>69</v>
      </c>
      <c r="G85" s="29" t="s">
        <v>1</v>
      </c>
      <c r="H85" s="38">
        <v>411000000</v>
      </c>
      <c r="I85" s="34">
        <v>800000</v>
      </c>
      <c r="J85" s="39" t="s">
        <v>38</v>
      </c>
      <c r="K85" s="40">
        <v>0.76</v>
      </c>
      <c r="L85" s="34">
        <f>Table4[[#This Row],[Capacity]]*6*Table4[[#This Row],[Utilization]]</f>
        <v>3648000</v>
      </c>
      <c r="M85" s="35">
        <f>Table4[[#This Row],[NG Cons (Low) MMBTU]]/1000/1000/365</f>
        <v>9.9945205479452064E-3</v>
      </c>
      <c r="N85" s="34">
        <f>Table4[[#This Row],[NG Cons (Low) MMBTU]]</f>
        <v>3648000</v>
      </c>
      <c r="O85" s="35">
        <f>Table4[[#This Row],[NG Cons (High) MMBTU]]/1000/1000/365</f>
        <v>9.9945205479452064E-3</v>
      </c>
      <c r="P85" s="6"/>
    </row>
    <row r="86" spans="1:16" ht="15.75" customHeight="1" x14ac:dyDescent="0.3">
      <c r="A86" s="29" t="s">
        <v>190</v>
      </c>
      <c r="B86" s="29" t="s">
        <v>191</v>
      </c>
      <c r="C86" s="30" t="str">
        <f>+RIGHT(Table4[[#This Row],[City]],2)</f>
        <v>OH</v>
      </c>
      <c r="D86" s="29" t="s">
        <v>4</v>
      </c>
      <c r="E86" s="29">
        <v>2012</v>
      </c>
      <c r="F86" s="29" t="s">
        <v>247</v>
      </c>
      <c r="G86" s="29" t="s">
        <v>5</v>
      </c>
      <c r="H86" s="38">
        <v>175000000</v>
      </c>
      <c r="I86" s="34"/>
      <c r="J86" s="39"/>
      <c r="K86" s="40">
        <v>0.76</v>
      </c>
      <c r="L86" s="34"/>
      <c r="M86" s="35">
        <f>Table4[[#This Row],[NG Cons (Low) MMBTU]]/1000/1000/365</f>
        <v>0</v>
      </c>
      <c r="N86" s="34"/>
      <c r="O86" s="35">
        <f>Table4[[#This Row],[NG Cons (High) MMBTU]]/1000/1000/365</f>
        <v>0</v>
      </c>
      <c r="P86" s="6"/>
    </row>
    <row r="87" spans="1:16" ht="15.75" customHeight="1" x14ac:dyDescent="0.3">
      <c r="A87" s="29" t="s">
        <v>358</v>
      </c>
      <c r="B87" s="29" t="s">
        <v>111</v>
      </c>
      <c r="C87" s="30" t="str">
        <f>+RIGHT(Table4[[#This Row],[City]],2)</f>
        <v>LA</v>
      </c>
      <c r="D87" s="29" t="s">
        <v>312</v>
      </c>
      <c r="E87" s="39">
        <v>2016</v>
      </c>
      <c r="F87" s="29" t="s">
        <v>69</v>
      </c>
      <c r="G87" s="29" t="s">
        <v>1</v>
      </c>
      <c r="H87" s="38">
        <v>850000000</v>
      </c>
      <c r="I87" s="34">
        <v>800000</v>
      </c>
      <c r="J87" s="39" t="s">
        <v>359</v>
      </c>
      <c r="K87" s="33">
        <v>0.76</v>
      </c>
      <c r="L87" s="34">
        <f>Table4[[#This Row],[Capacity]]*30.87*Table4[[#This Row],[Utilization]]</f>
        <v>18768960</v>
      </c>
      <c r="M87" s="35">
        <f>Table4[[#This Row],[NG Cons (Low) MMBTU]]/1000/1000/365</f>
        <v>5.1421808219178085E-2</v>
      </c>
      <c r="N87" s="34">
        <f>Table4[[#This Row],[Capacity]]*36.58</f>
        <v>29264000</v>
      </c>
      <c r="O87" s="35">
        <f>Table4[[#This Row],[NG Cons (High) MMBTU]]/1000/1000/365</f>
        <v>8.0175342465753419E-2</v>
      </c>
      <c r="P87" s="6"/>
    </row>
    <row r="88" spans="1:16" ht="15.75" customHeight="1" x14ac:dyDescent="0.3">
      <c r="A88" s="29" t="s">
        <v>192</v>
      </c>
      <c r="B88" s="29" t="s">
        <v>193</v>
      </c>
      <c r="C88" s="30" t="str">
        <f>+RIGHT(Table4[[#This Row],[City]],2)</f>
        <v>TN</v>
      </c>
      <c r="D88" s="29" t="s">
        <v>4</v>
      </c>
      <c r="E88" s="29">
        <v>2019</v>
      </c>
      <c r="F88" s="29" t="s">
        <v>0</v>
      </c>
      <c r="G88" s="29" t="s">
        <v>5</v>
      </c>
      <c r="H88" s="38">
        <v>1600000000</v>
      </c>
      <c r="I88" s="34"/>
      <c r="J88" s="39"/>
      <c r="K88" s="40">
        <v>0.76</v>
      </c>
      <c r="L88" s="34"/>
      <c r="M88" s="35"/>
      <c r="N88" s="34"/>
      <c r="O88" s="35"/>
      <c r="P88" s="6"/>
    </row>
    <row r="89" spans="1:16" ht="15.75" customHeight="1" x14ac:dyDescent="0.3">
      <c r="A89" s="29" t="s">
        <v>192</v>
      </c>
      <c r="B89" s="29" t="s">
        <v>291</v>
      </c>
      <c r="C89" s="30" t="str">
        <f>+RIGHT(Table4[[#This Row],[City]],2)</f>
        <v>TX</v>
      </c>
      <c r="D89" s="29" t="s">
        <v>4</v>
      </c>
      <c r="E89" s="39">
        <v>2014</v>
      </c>
      <c r="F89" s="29" t="s">
        <v>84</v>
      </c>
      <c r="G89" s="29" t="s">
        <v>5</v>
      </c>
      <c r="H89" s="38">
        <v>40000000</v>
      </c>
      <c r="I89" s="34">
        <v>20000</v>
      </c>
      <c r="J89" s="39" t="s">
        <v>38</v>
      </c>
      <c r="K89" s="40">
        <v>0.76</v>
      </c>
      <c r="L89" s="34"/>
      <c r="M89" s="35"/>
      <c r="N89" s="34">
        <f>Table4[[#This Row],[Capacity]]*30.87</f>
        <v>617400</v>
      </c>
      <c r="O89" s="35">
        <f>Table4[[#This Row],[NG Cons (High) MMBTU]]/1000/1000/365</f>
        <v>1.6915068493150683E-3</v>
      </c>
      <c r="P89" s="6"/>
    </row>
    <row r="90" spans="1:16" ht="15.75" customHeight="1" x14ac:dyDescent="0.3">
      <c r="A90" s="29" t="s">
        <v>257</v>
      </c>
      <c r="B90" s="29" t="s">
        <v>259</v>
      </c>
      <c r="C90" s="30" t="str">
        <f>+RIGHT(Table4[[#This Row],[City]],2)</f>
        <v>PA</v>
      </c>
      <c r="D90" s="29" t="s">
        <v>78</v>
      </c>
      <c r="E90" s="37">
        <v>2020</v>
      </c>
      <c r="F90" s="29" t="s">
        <v>227</v>
      </c>
      <c r="G90" s="29" t="s">
        <v>1</v>
      </c>
      <c r="H90" s="38">
        <v>1000000000</v>
      </c>
      <c r="I90" s="34">
        <v>16000</v>
      </c>
      <c r="J90" s="39" t="s">
        <v>76</v>
      </c>
      <c r="K90" s="40">
        <v>0.76</v>
      </c>
      <c r="L90" s="34">
        <f>Table4[[#This Row],[Capacity]]/10000*101/1000*365*1024*1000*Table4[[#This Row],[Utilization]]</f>
        <v>45903708.160000004</v>
      </c>
      <c r="M90" s="35">
        <f>Table4[[#This Row],[NG Cons (Low) MMBTU]]/1000/1000/365</f>
        <v>0.12576358400000001</v>
      </c>
      <c r="N90" s="34">
        <f>Table4[[#This Row],[Capacity]]*365*10*1024/875*Table4[[#This Row],[Utilization]]</f>
        <v>51941961.142857142</v>
      </c>
      <c r="O90" s="35">
        <f>Table4[[#This Row],[NG Cons (High) MMBTU]]/1000/1000/365</f>
        <v>0.14230674285714287</v>
      </c>
      <c r="P90" s="6"/>
    </row>
    <row r="91" spans="1:16" ht="15.75" customHeight="1" x14ac:dyDescent="0.3">
      <c r="A91" s="29" t="s">
        <v>257</v>
      </c>
      <c r="B91" s="29" t="s">
        <v>80</v>
      </c>
      <c r="C91" s="30" t="str">
        <f>+RIGHT(Table4[[#This Row],[City]],2)</f>
        <v>MS</v>
      </c>
      <c r="D91" s="29" t="s">
        <v>78</v>
      </c>
      <c r="E91" s="37">
        <v>2019</v>
      </c>
      <c r="F91" s="29" t="s">
        <v>110</v>
      </c>
      <c r="G91" s="29" t="s">
        <v>1</v>
      </c>
      <c r="H91" s="38">
        <v>2000000000.0000002</v>
      </c>
      <c r="I91" s="34">
        <v>14000</v>
      </c>
      <c r="J91" s="39" t="s">
        <v>76</v>
      </c>
      <c r="K91" s="40">
        <v>0.76</v>
      </c>
      <c r="L91" s="34">
        <f>Table4[[#This Row],[Capacity]]/10000*101/1000*365*1024*1000*Table4[[#This Row],[Utilization]]</f>
        <v>40165744.639999993</v>
      </c>
      <c r="M91" s="35">
        <f>Table4[[#This Row],[NG Cons (Low) MMBTU]]/1000/1000/365</f>
        <v>0.11004313599999999</v>
      </c>
      <c r="N91" s="34">
        <f>Table4[[#This Row],[Capacity]]*365*10*1024/875*Table4[[#This Row],[Utilization]]</f>
        <v>45449216</v>
      </c>
      <c r="O91" s="35">
        <f>Table4[[#This Row],[NG Cons (High) MMBTU]]/1000/1000/365</f>
        <v>0.1245184</v>
      </c>
      <c r="P91" s="6"/>
    </row>
    <row r="92" spans="1:16" ht="15.75" customHeight="1" x14ac:dyDescent="0.3">
      <c r="A92" s="29" t="s">
        <v>292</v>
      </c>
      <c r="B92" s="29" t="s">
        <v>134</v>
      </c>
      <c r="C92" s="30" t="str">
        <f>+RIGHT(Table4[[#This Row],[City]],2)</f>
        <v>TX</v>
      </c>
      <c r="D92" s="29" t="s">
        <v>117</v>
      </c>
      <c r="E92" s="29">
        <v>2013</v>
      </c>
      <c r="F92" s="29" t="s">
        <v>69</v>
      </c>
      <c r="G92" s="29" t="s">
        <v>5</v>
      </c>
      <c r="H92" s="38">
        <v>317800000</v>
      </c>
      <c r="I92" s="34">
        <v>227000</v>
      </c>
      <c r="J92" s="39" t="s">
        <v>38</v>
      </c>
      <c r="K92" s="40">
        <v>0.76</v>
      </c>
      <c r="L92" s="34">
        <f>Table4[[#This Row],[Capacity]]*6.615*Table4[[#This Row],[Utilization]]</f>
        <v>1141219.8</v>
      </c>
      <c r="M92" s="35">
        <f>Table4[[#This Row],[NG Cons (Low) MMBTU]]/1000/1000/365</f>
        <v>3.126629589041096E-3</v>
      </c>
      <c r="N92" s="34">
        <f>Table4[[#This Row],[Capacity]]*13.23*Table4[[#This Row],[Utilization]]</f>
        <v>2282439.6</v>
      </c>
      <c r="O92" s="35">
        <f>Table4[[#This Row],[NG Cons (High) MMBTU]]/1000/1000/365</f>
        <v>6.2532591780821919E-3</v>
      </c>
      <c r="P92" s="6"/>
    </row>
    <row r="93" spans="1:16" ht="15.75" customHeight="1" x14ac:dyDescent="0.3">
      <c r="A93" s="29" t="s">
        <v>292</v>
      </c>
      <c r="B93" s="29" t="s">
        <v>134</v>
      </c>
      <c r="C93" s="30" t="str">
        <f>+RIGHT(Table4[[#This Row],[City]],2)</f>
        <v>TX</v>
      </c>
      <c r="D93" s="29" t="s">
        <v>117</v>
      </c>
      <c r="E93" s="29">
        <v>2017</v>
      </c>
      <c r="F93" s="29" t="s">
        <v>0</v>
      </c>
      <c r="G93" s="29" t="s">
        <v>1</v>
      </c>
      <c r="H93" s="38">
        <v>1050000000</v>
      </c>
      <c r="I93" s="34">
        <v>750000</v>
      </c>
      <c r="J93" s="39" t="s">
        <v>38</v>
      </c>
      <c r="K93" s="40">
        <v>0.76</v>
      </c>
      <c r="L93" s="34">
        <f>Table4[[#This Row],[Capacity]]*6.615*Table4[[#This Row],[Utilization]]</f>
        <v>3770550</v>
      </c>
      <c r="M93" s="35">
        <f>Table4[[#This Row],[NG Cons (Low) MMBTU]]/1000/1000/365</f>
        <v>1.0330273972602741E-2</v>
      </c>
      <c r="N93" s="34">
        <f>Table4[[#This Row],[Capacity]]*13.23*Table4[[#This Row],[Utilization]]</f>
        <v>7541100</v>
      </c>
      <c r="O93" s="35">
        <f>Table4[[#This Row],[NG Cons (High) MMBTU]]/1000/1000/365</f>
        <v>2.0660547945205481E-2</v>
      </c>
      <c r="P93" s="6"/>
    </row>
    <row r="94" spans="1:16" ht="15.75" customHeight="1" x14ac:dyDescent="0.3">
      <c r="A94" s="29" t="s">
        <v>433</v>
      </c>
      <c r="B94" s="29" t="s">
        <v>134</v>
      </c>
      <c r="C94" s="30" t="str">
        <f>+RIGHT(Table4[[#This Row],[City]],2)</f>
        <v>TX</v>
      </c>
      <c r="D94" s="29" t="s">
        <v>133</v>
      </c>
      <c r="E94" s="29">
        <v>2012</v>
      </c>
      <c r="F94" s="29" t="s">
        <v>247</v>
      </c>
      <c r="G94" s="29" t="s">
        <v>1</v>
      </c>
      <c r="H94" s="38">
        <v>150000000</v>
      </c>
      <c r="I94" s="34">
        <v>85000</v>
      </c>
      <c r="J94" s="39" t="s">
        <v>76</v>
      </c>
      <c r="K94" s="40">
        <v>0.76</v>
      </c>
      <c r="L94" s="34"/>
      <c r="M94" s="35">
        <f>Table4[[#This Row],[NG Cons (Low) MMBTU]]/1000/1000/365</f>
        <v>0</v>
      </c>
      <c r="N94" s="34"/>
      <c r="O94" s="35">
        <f>Table4[[#This Row],[NG Cons (High) MMBTU]]/1000/1000/365</f>
        <v>0</v>
      </c>
      <c r="P94" s="6"/>
    </row>
    <row r="95" spans="1:16" ht="15.75" customHeight="1" x14ac:dyDescent="0.3">
      <c r="A95" s="29" t="s">
        <v>434</v>
      </c>
      <c r="B95" s="29" t="s">
        <v>134</v>
      </c>
      <c r="C95" s="30" t="str">
        <f>+RIGHT(Table4[[#This Row],[City]],2)</f>
        <v>TX</v>
      </c>
      <c r="D95" s="29" t="s">
        <v>133</v>
      </c>
      <c r="E95" s="29">
        <v>2013</v>
      </c>
      <c r="F95" s="29" t="s">
        <v>69</v>
      </c>
      <c r="G95" s="29" t="s">
        <v>1</v>
      </c>
      <c r="H95" s="38">
        <v>150000000</v>
      </c>
      <c r="I95" s="34">
        <v>85000</v>
      </c>
      <c r="J95" s="39" t="s">
        <v>76</v>
      </c>
      <c r="K95" s="40">
        <v>0.76</v>
      </c>
      <c r="L95" s="34"/>
      <c r="M95" s="35">
        <f>Table4[[#This Row],[NG Cons (Low) MMBTU]]/1000/1000/365</f>
        <v>0</v>
      </c>
      <c r="N95" s="34"/>
      <c r="O95" s="35">
        <f>Table4[[#This Row],[NG Cons (High) MMBTU]]/1000/1000/365</f>
        <v>0</v>
      </c>
      <c r="P95" s="6"/>
    </row>
    <row r="96" spans="1:16" ht="15.75" customHeight="1" x14ac:dyDescent="0.3">
      <c r="A96" s="29" t="s">
        <v>435</v>
      </c>
      <c r="B96" s="29" t="s">
        <v>134</v>
      </c>
      <c r="C96" s="30" t="str">
        <f>+RIGHT(Table4[[#This Row],[City]],2)</f>
        <v>TX</v>
      </c>
      <c r="D96" s="29" t="s">
        <v>133</v>
      </c>
      <c r="E96" s="29">
        <v>2013</v>
      </c>
      <c r="F96" s="29" t="s">
        <v>69</v>
      </c>
      <c r="G96" s="29" t="s">
        <v>1</v>
      </c>
      <c r="H96" s="38">
        <v>150000000</v>
      </c>
      <c r="I96" s="34">
        <v>85000</v>
      </c>
      <c r="J96" s="39" t="s">
        <v>76</v>
      </c>
      <c r="K96" s="40">
        <v>0.76</v>
      </c>
      <c r="L96" s="34"/>
      <c r="M96" s="35">
        <f>Table4[[#This Row],[NG Cons (Low) MMBTU]]/1000/1000/365</f>
        <v>0</v>
      </c>
      <c r="N96" s="34"/>
      <c r="O96" s="35">
        <f>Table4[[#This Row],[NG Cons (High) MMBTU]]/1000/1000/365</f>
        <v>0</v>
      </c>
      <c r="P96" s="6"/>
    </row>
    <row r="97" spans="1:16" ht="15.75" customHeight="1" x14ac:dyDescent="0.3">
      <c r="A97" s="29" t="s">
        <v>436</v>
      </c>
      <c r="B97" s="29" t="s">
        <v>134</v>
      </c>
      <c r="C97" s="30" t="str">
        <f>+RIGHT(Table4[[#This Row],[City]],2)</f>
        <v>TX</v>
      </c>
      <c r="D97" s="29" t="s">
        <v>133</v>
      </c>
      <c r="E97" s="29">
        <v>2013</v>
      </c>
      <c r="F97" s="29" t="s">
        <v>69</v>
      </c>
      <c r="G97" s="29" t="s">
        <v>1</v>
      </c>
      <c r="H97" s="38">
        <v>50000000</v>
      </c>
      <c r="I97" s="34">
        <v>10000</v>
      </c>
      <c r="J97" s="39" t="s">
        <v>76</v>
      </c>
      <c r="K97" s="40">
        <v>0.76</v>
      </c>
      <c r="L97" s="34"/>
      <c r="M97" s="35">
        <f>Table4[[#This Row],[NG Cons (Low) MMBTU]]/1000/1000/365</f>
        <v>0</v>
      </c>
      <c r="N97" s="34"/>
      <c r="O97" s="35">
        <f>Table4[[#This Row],[NG Cons (High) MMBTU]]/1000/1000/365</f>
        <v>0</v>
      </c>
      <c r="P97" s="6"/>
    </row>
    <row r="98" spans="1:16" ht="15.75" customHeight="1" x14ac:dyDescent="0.3">
      <c r="A98" s="29" t="s">
        <v>348</v>
      </c>
      <c r="B98" s="29" t="s">
        <v>342</v>
      </c>
      <c r="C98" s="30" t="str">
        <f>+RIGHT(Table4[[#This Row],[City]],2)</f>
        <v>OK</v>
      </c>
      <c r="D98" s="29" t="s">
        <v>78</v>
      </c>
      <c r="E98" s="39">
        <v>2016</v>
      </c>
      <c r="F98" s="29" t="s">
        <v>69</v>
      </c>
      <c r="G98" s="29" t="s">
        <v>1</v>
      </c>
      <c r="H98" s="38"/>
      <c r="I98" s="34"/>
      <c r="J98" s="39"/>
      <c r="K98" s="33"/>
      <c r="L98" s="34"/>
      <c r="M98" s="35">
        <f>Table4[[#This Row],[NG Cons (Low) MMBTU]]/1000/1000/365</f>
        <v>0</v>
      </c>
      <c r="N98" s="34"/>
      <c r="O98" s="35"/>
      <c r="P98" s="6"/>
    </row>
    <row r="99" spans="1:16" ht="15.75" customHeight="1" x14ac:dyDescent="0.3">
      <c r="A99" s="29" t="s">
        <v>11</v>
      </c>
      <c r="B99" s="29" t="s">
        <v>10</v>
      </c>
      <c r="C99" s="30" t="str">
        <f>+RIGHT(Table4[[#This Row],[City]],2)</f>
        <v>MS</v>
      </c>
      <c r="D99" s="29" t="s">
        <v>267</v>
      </c>
      <c r="E99" s="29">
        <v>2015</v>
      </c>
      <c r="F99" s="29" t="s">
        <v>0</v>
      </c>
      <c r="G99" s="29" t="s">
        <v>5</v>
      </c>
      <c r="H99" s="38">
        <v>147000000</v>
      </c>
      <c r="I99" s="34"/>
      <c r="J99" s="29"/>
      <c r="K99" s="40"/>
      <c r="L99" s="34"/>
      <c r="M99" s="35"/>
      <c r="N99" s="34"/>
      <c r="O99" s="35"/>
      <c r="P99" s="6"/>
    </row>
    <row r="100" spans="1:16" ht="15.75" customHeight="1" x14ac:dyDescent="0.3">
      <c r="A100" s="29" t="s">
        <v>11</v>
      </c>
      <c r="B100" s="29" t="s">
        <v>401</v>
      </c>
      <c r="C100" s="30" t="str">
        <f>+RIGHT(Table4[[#This Row],[City]],2)</f>
        <v>WV</v>
      </c>
      <c r="D100" s="29" t="s">
        <v>267</v>
      </c>
      <c r="E100" s="39">
        <v>2015</v>
      </c>
      <c r="F100" s="29" t="s">
        <v>84</v>
      </c>
      <c r="G100" s="29" t="s">
        <v>5</v>
      </c>
      <c r="H100" s="38">
        <v>78000000</v>
      </c>
      <c r="I100" s="34">
        <v>10000</v>
      </c>
      <c r="J100" s="39" t="s">
        <v>76</v>
      </c>
      <c r="K100" s="40"/>
      <c r="L100" s="34"/>
      <c r="M100" s="35"/>
      <c r="N100" s="34"/>
      <c r="O100" s="35"/>
      <c r="P100" s="6"/>
    </row>
    <row r="101" spans="1:16" ht="15.75" customHeight="1" x14ac:dyDescent="0.3">
      <c r="A101" s="29" t="s">
        <v>11</v>
      </c>
      <c r="B101" s="29" t="s">
        <v>293</v>
      </c>
      <c r="C101" s="30" t="str">
        <f>+RIGHT(Table4[[#This Row],[City]],2)</f>
        <v>OH</v>
      </c>
      <c r="D101" s="29" t="s">
        <v>267</v>
      </c>
      <c r="E101" s="39">
        <v>2014</v>
      </c>
      <c r="F101" s="29" t="s">
        <v>0</v>
      </c>
      <c r="G101" s="29" t="s">
        <v>5</v>
      </c>
      <c r="H101" s="38"/>
      <c r="I101" s="34">
        <v>10000</v>
      </c>
      <c r="J101" s="39" t="s">
        <v>76</v>
      </c>
      <c r="K101" s="40"/>
      <c r="L101" s="34"/>
      <c r="M101" s="35"/>
      <c r="N101" s="34"/>
      <c r="O101" s="35"/>
      <c r="P101" s="6"/>
    </row>
    <row r="102" spans="1:16" ht="15.75" customHeight="1" x14ac:dyDescent="0.3">
      <c r="A102" s="29" t="s">
        <v>11</v>
      </c>
      <c r="B102" s="29"/>
      <c r="C102" s="30" t="s">
        <v>402</v>
      </c>
      <c r="D102" s="29" t="s">
        <v>267</v>
      </c>
      <c r="E102" s="39">
        <v>2016</v>
      </c>
      <c r="F102" s="29" t="s">
        <v>84</v>
      </c>
      <c r="G102" s="29" t="s">
        <v>5</v>
      </c>
      <c r="H102" s="38"/>
      <c r="I102" s="34"/>
      <c r="J102" s="39"/>
      <c r="K102" s="40"/>
      <c r="L102" s="34"/>
      <c r="M102" s="35"/>
      <c r="N102" s="34"/>
      <c r="O102" s="35"/>
      <c r="P102" s="6"/>
    </row>
    <row r="103" spans="1:16" ht="15.75" customHeight="1" x14ac:dyDescent="0.3">
      <c r="A103" s="29" t="s">
        <v>234</v>
      </c>
      <c r="B103" s="29" t="s">
        <v>44</v>
      </c>
      <c r="C103" s="30" t="str">
        <f>+RIGHT(Table4[[#This Row],[City]],2)</f>
        <v>MN</v>
      </c>
      <c r="D103" s="29" t="s">
        <v>322</v>
      </c>
      <c r="E103" s="29">
        <v>2013</v>
      </c>
      <c r="F103" s="29" t="s">
        <v>69</v>
      </c>
      <c r="G103" s="29" t="s">
        <v>1</v>
      </c>
      <c r="H103" s="38">
        <v>1600000000</v>
      </c>
      <c r="I103" s="34">
        <v>1412266.66666667</v>
      </c>
      <c r="J103" s="39" t="s">
        <v>38</v>
      </c>
      <c r="K103" s="40">
        <v>0.8</v>
      </c>
      <c r="L103" s="34">
        <f>Table4[[#This Row],[Capacity]]*9.425*Table4[[#This Row],[Utilization]]</f>
        <v>10648490.666666694</v>
      </c>
      <c r="M103" s="35">
        <f>Table4[[#This Row],[NG Cons (Low) MMBTU]]/1000/1000/365</f>
        <v>2.9173947031963545E-2</v>
      </c>
      <c r="N103" s="34">
        <f>Table4[[#This Row],[Capacity]]*13*Table4[[#This Row],[Utilization]]</f>
        <v>14687573.333333367</v>
      </c>
      <c r="O103" s="35">
        <f>Table4[[#This Row],[NG Cons (High) MMBTU]]/1000/1000/365</f>
        <v>4.0239926940639367E-2</v>
      </c>
      <c r="P103" s="6"/>
    </row>
    <row r="104" spans="1:16" ht="15.75" customHeight="1" x14ac:dyDescent="0.3">
      <c r="A104" s="29" t="s">
        <v>194</v>
      </c>
      <c r="B104" s="29" t="s">
        <v>334</v>
      </c>
      <c r="C104" s="29" t="str">
        <f>+RIGHT(Table4[[#This Row],[City]],2)</f>
        <v>LA</v>
      </c>
      <c r="D104" s="29" t="s">
        <v>312</v>
      </c>
      <c r="E104" s="29">
        <v>2019</v>
      </c>
      <c r="F104" s="29" t="s">
        <v>253</v>
      </c>
      <c r="G104" s="29" t="s">
        <v>1</v>
      </c>
      <c r="H104" s="38">
        <v>1500000000</v>
      </c>
      <c r="I104" s="34">
        <v>800000</v>
      </c>
      <c r="J104" s="39" t="s">
        <v>38</v>
      </c>
      <c r="K104" s="40">
        <v>0.76</v>
      </c>
      <c r="L104" s="34">
        <f>Table4[[#This Row],[Capacity]]*30.87*Table4[[#This Row],[Utilization]]</f>
        <v>18768960</v>
      </c>
      <c r="M104" s="35">
        <f>Table4[[#This Row],[NG Cons (Low) MMBTU]]/1000/1000/365</f>
        <v>5.1421808219178085E-2</v>
      </c>
      <c r="N104" s="34">
        <f>Table4[[#This Row],[Capacity]]*36.58</f>
        <v>29264000</v>
      </c>
      <c r="O104" s="35">
        <f>Table4[[#This Row],[NG Cons (High) MMBTU]]/1000/1000/365</f>
        <v>8.0175342465753419E-2</v>
      </c>
      <c r="P104" s="6"/>
    </row>
    <row r="105" spans="1:16" s="14" customFormat="1" ht="15.75" customHeight="1" x14ac:dyDescent="0.3">
      <c r="A105" s="29" t="s">
        <v>9</v>
      </c>
      <c r="B105" s="29" t="s">
        <v>170</v>
      </c>
      <c r="C105" s="30" t="str">
        <f>+RIGHT(Table4[[#This Row],[City]],2)</f>
        <v>AL</v>
      </c>
      <c r="D105" s="29" t="s">
        <v>4</v>
      </c>
      <c r="E105" s="29">
        <v>2015</v>
      </c>
      <c r="F105" s="29" t="s">
        <v>84</v>
      </c>
      <c r="G105" s="29" t="s">
        <v>1</v>
      </c>
      <c r="H105" s="38">
        <v>84300000</v>
      </c>
      <c r="I105" s="34">
        <v>120000</v>
      </c>
      <c r="J105" s="39" t="s">
        <v>38</v>
      </c>
      <c r="K105" s="40">
        <v>0.76</v>
      </c>
      <c r="L105" s="34"/>
      <c r="M105" s="35"/>
      <c r="N105" s="34"/>
      <c r="O105" s="35"/>
    </row>
    <row r="106" spans="1:16" ht="15.75" customHeight="1" x14ac:dyDescent="0.3">
      <c r="A106" s="29" t="s">
        <v>7</v>
      </c>
      <c r="B106" s="29" t="s">
        <v>128</v>
      </c>
      <c r="C106" s="30" t="str">
        <f>+RIGHT(Table4[[#This Row],[City]],2)</f>
        <v>TX</v>
      </c>
      <c r="D106" s="29" t="s">
        <v>315</v>
      </c>
      <c r="E106" s="29">
        <v>2017</v>
      </c>
      <c r="F106" s="29" t="s">
        <v>0</v>
      </c>
      <c r="G106" s="29" t="s">
        <v>1</v>
      </c>
      <c r="H106" s="38">
        <v>5125000000</v>
      </c>
      <c r="I106" s="34">
        <v>1500000</v>
      </c>
      <c r="J106" s="39" t="s">
        <v>38</v>
      </c>
      <c r="K106" s="40">
        <v>0.76</v>
      </c>
      <c r="L106" s="34">
        <f>19.3*Table4[[#This Row],[Capacity]]*Table4[[#This Row],[Utilization]]</f>
        <v>22002000</v>
      </c>
      <c r="M106" s="35">
        <f>Table4[[#This Row],[NG Cons (Low) MMBTU]]/1000/1000/365</f>
        <v>6.027945205479452E-2</v>
      </c>
      <c r="N106" s="34">
        <f>Table4[[#This Row],[Capacity]]*30.87*Table4[[#This Row],[Utilization]]</f>
        <v>35191800</v>
      </c>
      <c r="O106" s="35">
        <f>Table4[[#This Row],[NG Cons (High) MMBTU]]/1000/1000/365</f>
        <v>9.641589041095891E-2</v>
      </c>
      <c r="P106" s="6"/>
    </row>
    <row r="107" spans="1:16" ht="15.75" customHeight="1" x14ac:dyDescent="0.3">
      <c r="A107" s="29" t="s">
        <v>7</v>
      </c>
      <c r="B107" s="29" t="s">
        <v>6</v>
      </c>
      <c r="C107" s="30" t="str">
        <f>+RIGHT(Table4[[#This Row],[City]],2)</f>
        <v>LA</v>
      </c>
      <c r="D107" s="29" t="s">
        <v>4</v>
      </c>
      <c r="E107" s="29">
        <v>2014</v>
      </c>
      <c r="F107" s="29" t="s">
        <v>0</v>
      </c>
      <c r="G107" s="29" t="s">
        <v>5</v>
      </c>
      <c r="H107" s="38">
        <v>215000000</v>
      </c>
      <c r="I107" s="34"/>
      <c r="J107" s="29"/>
      <c r="K107" s="40">
        <v>0.76</v>
      </c>
      <c r="L107" s="34"/>
      <c r="M107" s="35"/>
      <c r="N107" s="34"/>
      <c r="O107" s="35"/>
      <c r="P107" s="6"/>
    </row>
    <row r="108" spans="1:16" ht="15.75" customHeight="1" x14ac:dyDescent="0.3">
      <c r="A108" s="29" t="s">
        <v>7</v>
      </c>
      <c r="B108" s="29" t="s">
        <v>134</v>
      </c>
      <c r="C108" s="30" t="str">
        <f>+RIGHT(Table4[[#This Row],[City]],2)</f>
        <v>TX</v>
      </c>
      <c r="D108" s="29" t="s">
        <v>120</v>
      </c>
      <c r="E108" s="29">
        <v>2016</v>
      </c>
      <c r="F108" s="29" t="s">
        <v>0</v>
      </c>
      <c r="G108" s="29" t="s">
        <v>1</v>
      </c>
      <c r="H108" s="38">
        <f>444*I108</f>
        <v>288600000</v>
      </c>
      <c r="I108" s="34">
        <v>650000</v>
      </c>
      <c r="J108" s="39" t="s">
        <v>38</v>
      </c>
      <c r="K108" s="40">
        <v>0.76</v>
      </c>
      <c r="L108" s="34">
        <f>Table4[[#This Row],[Capacity]]*4.8*Table4[[#This Row],[Utilization]]</f>
        <v>2371200</v>
      </c>
      <c r="M108" s="35">
        <f>Table4[[#This Row],[NG Cons (Low) MMBTU]]/1000/1000/365</f>
        <v>6.4964383561643838E-3</v>
      </c>
      <c r="N108" s="34">
        <f>Table4[[#This Row],[NG Cons (Low) MMBTU]]</f>
        <v>2371200</v>
      </c>
      <c r="O108" s="35">
        <f>Table4[[#This Row],[NG Cons (High) MMBTU]]/1000/1000/365</f>
        <v>6.4964383561643838E-3</v>
      </c>
      <c r="P108" s="6"/>
    </row>
    <row r="109" spans="1:16" ht="15.75" customHeight="1" x14ac:dyDescent="0.3">
      <c r="A109" s="29" t="s">
        <v>7</v>
      </c>
      <c r="B109" s="29" t="s">
        <v>115</v>
      </c>
      <c r="C109" s="30" t="str">
        <f>+RIGHT(Table4[[#This Row],[City]],2)</f>
        <v>TX</v>
      </c>
      <c r="D109" s="29" t="s">
        <v>120</v>
      </c>
      <c r="E109" s="39">
        <v>2017</v>
      </c>
      <c r="F109" s="29" t="s">
        <v>0</v>
      </c>
      <c r="G109" s="29" t="s">
        <v>5</v>
      </c>
      <c r="H109" s="38">
        <v>1200000000</v>
      </c>
      <c r="I109" s="34">
        <v>650000</v>
      </c>
      <c r="J109" s="39" t="s">
        <v>38</v>
      </c>
      <c r="K109" s="33">
        <v>0.76</v>
      </c>
      <c r="L109" s="34">
        <f>Table4[[#This Row],[Capacity]]*4.8*Table4[[#This Row],[Utilization]]</f>
        <v>2371200</v>
      </c>
      <c r="M109" s="35">
        <f>Table4[[#This Row],[NG Cons (Low) MMBTU]]/1000/1000/365</f>
        <v>6.4964383561643838E-3</v>
      </c>
      <c r="N109" s="34">
        <f>Table4[[#This Row],[NG Cons (Low) MMBTU]]</f>
        <v>2371200</v>
      </c>
      <c r="O109" s="35">
        <f>Table4[[#This Row],[NG Cons (High) MMBTU]]/1000/1000/365</f>
        <v>6.4964383561643838E-3</v>
      </c>
      <c r="P109" s="6"/>
    </row>
    <row r="110" spans="1:16" ht="15.75" customHeight="1" x14ac:dyDescent="0.3">
      <c r="A110" s="29" t="s">
        <v>335</v>
      </c>
      <c r="B110" s="29" t="s">
        <v>65</v>
      </c>
      <c r="C110" s="30" t="str">
        <f>+RIGHT(Table4[[#This Row],[City]],2)</f>
        <v>TX</v>
      </c>
      <c r="D110" s="29" t="s">
        <v>315</v>
      </c>
      <c r="E110" s="39">
        <v>2020</v>
      </c>
      <c r="F110" s="29" t="s">
        <v>84</v>
      </c>
      <c r="G110" s="29" t="s">
        <v>1</v>
      </c>
      <c r="H110" s="38">
        <v>6000000000</v>
      </c>
      <c r="I110" s="34">
        <v>1800000</v>
      </c>
      <c r="J110" s="39" t="s">
        <v>38</v>
      </c>
      <c r="K110" s="33">
        <v>0.76</v>
      </c>
      <c r="L110" s="34">
        <f>19.3*Table4[[#This Row],[Capacity]]*Table4[[#This Row],[Utilization]]</f>
        <v>26402400</v>
      </c>
      <c r="M110" s="35">
        <f>Table4[[#This Row],[NG Cons (Low) MMBTU]]/1000/1000/365</f>
        <v>7.2335342465753419E-2</v>
      </c>
      <c r="N110" s="34">
        <f>Table4[[#This Row],[Capacity]]*30.87*Table4[[#This Row],[Utilization]]</f>
        <v>42230160</v>
      </c>
      <c r="O110" s="35">
        <f>Table4[[#This Row],[NG Cons (High) MMBTU]]/1000/1000/365</f>
        <v>0.1156990684931507</v>
      </c>
      <c r="P110" s="6"/>
    </row>
    <row r="111" spans="1:16" ht="15.75" customHeight="1" x14ac:dyDescent="0.3">
      <c r="A111" s="29" t="s">
        <v>303</v>
      </c>
      <c r="B111" s="29" t="s">
        <v>403</v>
      </c>
      <c r="C111" s="30" t="str">
        <f>+RIGHT(Table4[[#This Row],[City]],2)</f>
        <v>TX</v>
      </c>
      <c r="D111" s="29" t="s">
        <v>117</v>
      </c>
      <c r="E111" s="37"/>
      <c r="F111" s="29" t="s">
        <v>116</v>
      </c>
      <c r="G111" s="29" t="s">
        <v>5</v>
      </c>
      <c r="H111" s="38">
        <v>600000000</v>
      </c>
      <c r="I111" s="34">
        <v>500000</v>
      </c>
      <c r="J111" s="39" t="s">
        <v>38</v>
      </c>
      <c r="K111" s="40">
        <v>0.76</v>
      </c>
      <c r="L111" s="34">
        <f>Table4[[#This Row],[Capacity]]*6.615*Table4[[#This Row],[Utilization]]</f>
        <v>2513700</v>
      </c>
      <c r="M111" s="35">
        <f>Table4[[#This Row],[NG Cons (Low) MMBTU]]/1000/1000/365</f>
        <v>6.8868493150684917E-3</v>
      </c>
      <c r="N111" s="34">
        <f>Table4[[#This Row],[Capacity]]*13.23*Table4[[#This Row],[Utilization]]</f>
        <v>5027400</v>
      </c>
      <c r="O111" s="35">
        <f>Table4[[#This Row],[NG Cons (High) MMBTU]]/1000/1000/365</f>
        <v>1.3773698630136983E-2</v>
      </c>
      <c r="P111" s="6"/>
    </row>
    <row r="112" spans="1:16" ht="15.75" customHeight="1" x14ac:dyDescent="0.3">
      <c r="A112" s="29" t="s">
        <v>195</v>
      </c>
      <c r="B112" s="29" t="s">
        <v>196</v>
      </c>
      <c r="C112" s="30" t="str">
        <f>+RIGHT(Table4[[#This Row],[City]],2)</f>
        <v>OH</v>
      </c>
      <c r="D112" s="29" t="s">
        <v>60</v>
      </c>
      <c r="E112" s="37">
        <v>2013</v>
      </c>
      <c r="F112" s="29" t="s">
        <v>69</v>
      </c>
      <c r="G112" s="29" t="s">
        <v>5</v>
      </c>
      <c r="H112" s="38"/>
      <c r="I112" s="34">
        <v>22680</v>
      </c>
      <c r="J112" s="39" t="s">
        <v>38</v>
      </c>
      <c r="K112" s="40">
        <v>0.88</v>
      </c>
      <c r="L112" s="34"/>
      <c r="M112" s="35">
        <f>Table4[[#This Row],[NG Cons (Low) MMBTU]]/1000/1000/365</f>
        <v>0</v>
      </c>
      <c r="N112" s="34"/>
      <c r="O112" s="35">
        <f>Table4[[#This Row],[NG Cons (High) MMBTU]]/1000/1000/365</f>
        <v>0</v>
      </c>
      <c r="P112" s="6"/>
    </row>
    <row r="113" spans="1:16" ht="15.75" customHeight="1" x14ac:dyDescent="0.3">
      <c r="A113" s="29" t="s">
        <v>296</v>
      </c>
      <c r="B113" s="29" t="s">
        <v>118</v>
      </c>
      <c r="C113" s="30" t="str">
        <f>+RIGHT(Table4[[#This Row],[City]],2)</f>
        <v>TX</v>
      </c>
      <c r="D113" s="29" t="s">
        <v>315</v>
      </c>
      <c r="E113" s="29">
        <v>2018</v>
      </c>
      <c r="F113" s="29" t="s">
        <v>0</v>
      </c>
      <c r="G113" s="29" t="s">
        <v>1</v>
      </c>
      <c r="H113" s="38">
        <v>1900000000</v>
      </c>
      <c r="I113" s="34">
        <v>1590000</v>
      </c>
      <c r="J113" s="39" t="s">
        <v>38</v>
      </c>
      <c r="K113" s="40">
        <v>0.76</v>
      </c>
      <c r="L113" s="34">
        <f>19.3*Table4[[#This Row],[Capacity]]*Table4[[#This Row],[Utilization]]</f>
        <v>23322120</v>
      </c>
      <c r="M113" s="35">
        <f>Table4[[#This Row],[NG Cons (Low) MMBTU]]/1000/1000/365</f>
        <v>6.3896219178082192E-2</v>
      </c>
      <c r="N113" s="34">
        <f>Table4[[#This Row],[Capacity]]*30.87*Table4[[#This Row],[Utilization]]</f>
        <v>37303308</v>
      </c>
      <c r="O113" s="35">
        <f>Table4[[#This Row],[NG Cons (High) MMBTU]]/1000/1000/365</f>
        <v>0.10220084383561642</v>
      </c>
      <c r="P113" s="6"/>
    </row>
    <row r="114" spans="1:16" ht="15.75" customHeight="1" x14ac:dyDescent="0.3">
      <c r="A114" s="29" t="s">
        <v>296</v>
      </c>
      <c r="B114" s="29" t="s">
        <v>43</v>
      </c>
      <c r="C114" s="30" t="str">
        <f>+RIGHT(Table4[[#This Row],[City]],2)</f>
        <v>LA</v>
      </c>
      <c r="D114" s="29" t="s">
        <v>315</v>
      </c>
      <c r="E114" s="37">
        <v>2022</v>
      </c>
      <c r="F114" s="29" t="s">
        <v>110</v>
      </c>
      <c r="G114" s="29" t="s">
        <v>1</v>
      </c>
      <c r="H114" s="38">
        <v>9400000000</v>
      </c>
      <c r="I114" s="34">
        <v>3000000</v>
      </c>
      <c r="J114" s="39" t="s">
        <v>38</v>
      </c>
      <c r="K114" s="40">
        <v>0.76</v>
      </c>
      <c r="L114" s="34">
        <f>19.3*Table4[[#This Row],[Capacity]]*Table4[[#This Row],[Utilization]]</f>
        <v>44004000</v>
      </c>
      <c r="M114" s="35">
        <f>Table4[[#This Row],[NG Cons (Low) MMBTU]]/1000/1000/365</f>
        <v>0.12055890410958904</v>
      </c>
      <c r="N114" s="34">
        <f>Table4[[#This Row],[Capacity]]*30.87*Table4[[#This Row],[Utilization]]</f>
        <v>70383600</v>
      </c>
      <c r="O114" s="35">
        <f>Table4[[#This Row],[NG Cons (High) MMBTU]]/1000/1000/365</f>
        <v>0.19283178082191782</v>
      </c>
      <c r="P114" s="6"/>
    </row>
    <row r="115" spans="1:16" ht="15.75" customHeight="1" x14ac:dyDescent="0.3">
      <c r="A115" s="29" t="s">
        <v>296</v>
      </c>
      <c r="B115" s="29" t="s">
        <v>118</v>
      </c>
      <c r="C115" s="30" t="str">
        <f>+RIGHT(Table4[[#This Row],[City]],2)</f>
        <v>TX</v>
      </c>
      <c r="D115" s="29" t="s">
        <v>67</v>
      </c>
      <c r="E115" s="29">
        <v>2012</v>
      </c>
      <c r="F115" s="29" t="s">
        <v>247</v>
      </c>
      <c r="G115" s="29" t="s">
        <v>5</v>
      </c>
      <c r="H115" s="38">
        <v>1000000000</v>
      </c>
      <c r="I115" s="34">
        <f>1930000</f>
        <v>1930000</v>
      </c>
      <c r="J115" s="29" t="s">
        <v>66</v>
      </c>
      <c r="K115" s="40">
        <v>0.76</v>
      </c>
      <c r="L115" s="34">
        <f>Table4[[#This Row],[Capacity]]*6*Table4[[#This Row],[Utilization]]</f>
        <v>8800800</v>
      </c>
      <c r="M115" s="35">
        <f>Table4[[#This Row],[NG Cons (Low) MMBTU]]/1000/1000/365</f>
        <v>2.4111780821917804E-2</v>
      </c>
      <c r="N115" s="34">
        <f>Table4[[#This Row],[NG Cons (Low) MMBTU]]</f>
        <v>8800800</v>
      </c>
      <c r="O115" s="35">
        <f>Table4[[#This Row],[NG Cons (High) MMBTU]]/1000/1000/365</f>
        <v>2.4111780821917804E-2</v>
      </c>
      <c r="P115" s="6"/>
    </row>
    <row r="116" spans="1:16" ht="15.75" customHeight="1" x14ac:dyDescent="0.3">
      <c r="A116" s="29" t="s">
        <v>296</v>
      </c>
      <c r="B116" s="29" t="s">
        <v>118</v>
      </c>
      <c r="C116" s="30" t="str">
        <f>+RIGHT(Table4[[#This Row],[City]],2)</f>
        <v>TX</v>
      </c>
      <c r="D116" s="29" t="s">
        <v>133</v>
      </c>
      <c r="E116" s="29">
        <v>2013</v>
      </c>
      <c r="F116" s="29" t="s">
        <v>69</v>
      </c>
      <c r="G116" s="29" t="s">
        <v>1</v>
      </c>
      <c r="H116" s="38">
        <v>150000000</v>
      </c>
      <c r="I116" s="34">
        <v>75000</v>
      </c>
      <c r="J116" s="39" t="s">
        <v>76</v>
      </c>
      <c r="K116" s="40">
        <v>0.76</v>
      </c>
      <c r="L116" s="34"/>
      <c r="M116" s="35">
        <f>Table4[[#This Row],[NG Cons (Low) MMBTU]]/1000/1000/365</f>
        <v>0</v>
      </c>
      <c r="N116" s="34"/>
      <c r="O116" s="35">
        <f>Table4[[#This Row],[NG Cons (High) MMBTU]]/1000/1000/365</f>
        <v>0</v>
      </c>
      <c r="P116" s="6"/>
    </row>
    <row r="117" spans="1:16" ht="15.75" customHeight="1" x14ac:dyDescent="0.3">
      <c r="A117" s="29" t="s">
        <v>296</v>
      </c>
      <c r="B117" s="29" t="s">
        <v>118</v>
      </c>
      <c r="C117" s="30" t="str">
        <f>+RIGHT(Table4[[#This Row],[City]],2)</f>
        <v>TX</v>
      </c>
      <c r="D117" s="29" t="s">
        <v>120</v>
      </c>
      <c r="E117" s="29">
        <v>2016</v>
      </c>
      <c r="F117" s="29" t="s">
        <v>0</v>
      </c>
      <c r="G117" s="29" t="s">
        <v>1</v>
      </c>
      <c r="H117" s="38">
        <f>444*I117</f>
        <v>251748000</v>
      </c>
      <c r="I117" s="34">
        <v>567000</v>
      </c>
      <c r="J117" s="39" t="s">
        <v>38</v>
      </c>
      <c r="K117" s="40">
        <v>0.76</v>
      </c>
      <c r="L117" s="34">
        <f>Table4[[#This Row],[Capacity]]*4.8*Table4[[#This Row],[Utilization]]</f>
        <v>2068416</v>
      </c>
      <c r="M117" s="35">
        <f>Table4[[#This Row],[NG Cons (Low) MMBTU]]/1000/1000/365</f>
        <v>5.6668931506849317E-3</v>
      </c>
      <c r="N117" s="34">
        <f>Table4[[#This Row],[NG Cons (Low) MMBTU]]</f>
        <v>2068416</v>
      </c>
      <c r="O117" s="35">
        <f>Table4[[#This Row],[NG Cons (High) MMBTU]]/1000/1000/365</f>
        <v>5.6668931506849317E-3</v>
      </c>
      <c r="P117" s="6"/>
    </row>
    <row r="118" spans="1:16" ht="15.75" customHeight="1" x14ac:dyDescent="0.3">
      <c r="A118" s="29" t="s">
        <v>296</v>
      </c>
      <c r="B118" s="29" t="s">
        <v>118</v>
      </c>
      <c r="C118" s="30" t="str">
        <f>+RIGHT(Table4[[#This Row],[City]],2)</f>
        <v>TX</v>
      </c>
      <c r="D118" s="29" t="s">
        <v>120</v>
      </c>
      <c r="E118" s="29">
        <v>2017</v>
      </c>
      <c r="F118" s="29" t="s">
        <v>110</v>
      </c>
      <c r="G118" s="29" t="s">
        <v>1</v>
      </c>
      <c r="H118" s="38">
        <f>+Table4[[#This Row],[Capacity]]*444</f>
        <v>233100000</v>
      </c>
      <c r="I118" s="34">
        <v>525000</v>
      </c>
      <c r="J118" s="32" t="s">
        <v>38</v>
      </c>
      <c r="K118" s="45">
        <v>0.76</v>
      </c>
      <c r="L118" s="32">
        <f>Table4[[#This Row],[Capacity]]*4.8*Table4[[#This Row],[Utilization]]</f>
        <v>1915200</v>
      </c>
      <c r="M118" s="35">
        <f>Table4[[#This Row],[NG Cons (Low) MMBTU]]/1000/1000/365</f>
        <v>5.2471232876712326E-3</v>
      </c>
      <c r="N118" s="32">
        <f>Table4[[#This Row],[NG Cons (Low) MMBTU]]</f>
        <v>1915200</v>
      </c>
      <c r="O118" s="35">
        <f>Table4[[#This Row],[NG Cons (High) MMBTU]]/1000/1000/365</f>
        <v>5.2471232876712326E-3</v>
      </c>
      <c r="P118" s="6"/>
    </row>
    <row r="119" spans="1:16" s="18" customFormat="1" ht="15.75" customHeight="1" x14ac:dyDescent="0.3">
      <c r="A119" s="29" t="s">
        <v>296</v>
      </c>
      <c r="B119" s="29" t="s">
        <v>118</v>
      </c>
      <c r="C119" s="30" t="str">
        <f>+RIGHT(Table4[[#This Row],[City]],2)</f>
        <v>TX</v>
      </c>
      <c r="D119" s="29" t="s">
        <v>117</v>
      </c>
      <c r="E119" s="29">
        <v>2016</v>
      </c>
      <c r="F119" s="29" t="s">
        <v>84</v>
      </c>
      <c r="G119" s="29" t="s">
        <v>5</v>
      </c>
      <c r="H119" s="38">
        <v>700000000</v>
      </c>
      <c r="I119" s="34">
        <v>658000</v>
      </c>
      <c r="J119" s="39" t="s">
        <v>38</v>
      </c>
      <c r="K119" s="40">
        <v>0.76</v>
      </c>
      <c r="L119" s="34">
        <f>Table4[[#This Row],[Capacity]]*6.615*Table4[[#This Row],[Utilization]]</f>
        <v>3308029.2</v>
      </c>
      <c r="M119" s="35">
        <f>Table4[[#This Row],[NG Cons (Low) MMBTU]]/1000/1000/365</f>
        <v>9.0630936986301376E-3</v>
      </c>
      <c r="N119" s="34">
        <f>Table4[[#This Row],[Capacity]]*13.23*Table4[[#This Row],[Utilization]]</f>
        <v>6616058.4000000004</v>
      </c>
      <c r="O119" s="35">
        <f>Table4[[#This Row],[NG Cons (High) MMBTU]]/1000/1000/365</f>
        <v>1.8126187397260275E-2</v>
      </c>
    </row>
    <row r="120" spans="1:16" s="27" customFormat="1" ht="15.75" customHeight="1" x14ac:dyDescent="0.3">
      <c r="A120" s="29" t="s">
        <v>158</v>
      </c>
      <c r="B120" s="29" t="s">
        <v>171</v>
      </c>
      <c r="C120" s="30" t="str">
        <f>+RIGHT(Table4[[#This Row],[City]],2)</f>
        <v>TX</v>
      </c>
      <c r="D120" s="29" t="s">
        <v>98</v>
      </c>
      <c r="E120" s="29">
        <v>2015</v>
      </c>
      <c r="F120" s="29" t="s">
        <v>69</v>
      </c>
      <c r="G120" s="29" t="s">
        <v>1</v>
      </c>
      <c r="H120" s="38">
        <v>155000000</v>
      </c>
      <c r="I120" s="34">
        <v>65000</v>
      </c>
      <c r="J120" s="39" t="s">
        <v>38</v>
      </c>
      <c r="K120" s="40">
        <v>0.76</v>
      </c>
      <c r="L120" s="34">
        <f>Table4[[#This Row],[Capacity]]*31.968*Table4[[#This Row],[Utilization]]</f>
        <v>1579219.2</v>
      </c>
      <c r="M120" s="35">
        <f>Table4[[#This Row],[NG Cons (Low) MMBTU]]/1000/1000/365</f>
        <v>4.3266279452054794E-3</v>
      </c>
      <c r="N120" s="34">
        <f>Table4[[#This Row],[Capacity]]*32.634*Table4[[#This Row],[Utilization]]</f>
        <v>1612119.6</v>
      </c>
      <c r="O120" s="35">
        <f>Table4[[#This Row],[NG Cons (High) MMBTU]]/1000/1000/365</f>
        <v>4.4167660273972606E-3</v>
      </c>
    </row>
    <row r="121" spans="1:16" ht="15.75" customHeight="1" x14ac:dyDescent="0.3">
      <c r="A121" s="61" t="s">
        <v>158</v>
      </c>
      <c r="B121" s="61" t="s">
        <v>79</v>
      </c>
      <c r="C121" s="30" t="str">
        <f>+RIGHT(Table4[[#This Row],[City]],2)</f>
        <v>LA</v>
      </c>
      <c r="D121" s="61" t="s">
        <v>98</v>
      </c>
      <c r="E121" s="61">
        <v>2019</v>
      </c>
      <c r="F121" s="61" t="s">
        <v>0</v>
      </c>
      <c r="G121" s="61" t="s">
        <v>1</v>
      </c>
      <c r="H121" s="38">
        <v>1600000000</v>
      </c>
      <c r="I121" s="65">
        <v>1400000</v>
      </c>
      <c r="J121" s="61" t="s">
        <v>38</v>
      </c>
      <c r="K121" s="66">
        <v>0.76</v>
      </c>
      <c r="L121" s="34">
        <f>Table4[[#This Row],[Capacity]]*31.968*Table4[[#This Row],[Utilization]]</f>
        <v>34013952</v>
      </c>
      <c r="M121" s="35">
        <f>Table4[[#This Row],[NG Cons (Low) MMBTU]]/1000/1000/365</f>
        <v>9.318890958904108E-2</v>
      </c>
      <c r="N121" s="34">
        <f>Table4[[#This Row],[Capacity]]*32.634*Table4[[#This Row],[Utilization]]</f>
        <v>34722576</v>
      </c>
      <c r="O121" s="35">
        <f>Table4[[#This Row],[NG Cons (High) MMBTU]]/1000/1000/365</f>
        <v>9.5130345205479458E-2</v>
      </c>
      <c r="P121" s="6"/>
    </row>
    <row r="122" spans="1:16" s="18" customFormat="1" ht="15.75" customHeight="1" x14ac:dyDescent="0.3">
      <c r="A122" s="29" t="s">
        <v>158</v>
      </c>
      <c r="B122" s="29" t="s">
        <v>79</v>
      </c>
      <c r="C122" s="30" t="str">
        <f>+RIGHT(Table4[[#This Row],[City]],2)</f>
        <v>LA</v>
      </c>
      <c r="D122" s="29" t="s">
        <v>172</v>
      </c>
      <c r="E122" s="37">
        <v>2017</v>
      </c>
      <c r="F122" s="29" t="s">
        <v>0</v>
      </c>
      <c r="G122" s="29" t="s">
        <v>1</v>
      </c>
      <c r="H122" s="38">
        <v>1400000000</v>
      </c>
      <c r="I122" s="34">
        <v>12500</v>
      </c>
      <c r="J122" s="39" t="s">
        <v>76</v>
      </c>
      <c r="K122" s="40">
        <v>0.76</v>
      </c>
      <c r="L122" s="34">
        <f>Table4[[#This Row],[Capacity]]/10000*101/1000*365*1024*1000*Table4[[#This Row],[Utilization]]</f>
        <v>35862272</v>
      </c>
      <c r="M122" s="35">
        <f>Table4[[#This Row],[NG Cons (Low) MMBTU]]/1000/1000/365</f>
        <v>9.8252799999999987E-2</v>
      </c>
      <c r="N122" s="34">
        <f>Table4[[#This Row],[Capacity]]*365*10*1024/875*Table4[[#This Row],[Utilization]]</f>
        <v>40579657.142857142</v>
      </c>
      <c r="O122" s="35">
        <f>Table4[[#This Row],[NG Cons (High) MMBTU]]/1000/1000/365</f>
        <v>0.11117714285714286</v>
      </c>
    </row>
    <row r="123" spans="1:16" ht="15.75" customHeight="1" x14ac:dyDescent="0.3">
      <c r="A123" s="29" t="s">
        <v>236</v>
      </c>
      <c r="B123" s="29" t="s">
        <v>47</v>
      </c>
      <c r="C123" s="30" t="str">
        <f>+RIGHT(Table4[[#This Row],[City]],2)</f>
        <v>MN</v>
      </c>
      <c r="D123" s="29" t="s">
        <v>331</v>
      </c>
      <c r="E123" s="29">
        <v>2015</v>
      </c>
      <c r="F123" s="29" t="s">
        <v>69</v>
      </c>
      <c r="G123" s="29" t="s">
        <v>5</v>
      </c>
      <c r="H123" s="38">
        <v>60000000</v>
      </c>
      <c r="I123" s="34">
        <v>90718</v>
      </c>
      <c r="J123" s="39" t="s">
        <v>38</v>
      </c>
      <c r="K123" s="40">
        <v>0.8</v>
      </c>
      <c r="L123" s="34">
        <f>Table4[[#This Row],[Capacity]]*9.425*Table4[[#This Row],[Utilization]]</f>
        <v>684013.72000000009</v>
      </c>
      <c r="M123" s="35">
        <f>Table4[[#This Row],[NG Cons (Low) MMBTU]]/1000/1000/365</f>
        <v>1.8740101917808221E-3</v>
      </c>
      <c r="N123" s="34">
        <f>Table4[[#This Row],[Capacity]]*13*Table4[[#This Row],[Utilization]]</f>
        <v>943467.20000000007</v>
      </c>
      <c r="O123" s="35">
        <f>Table4[[#This Row],[NG Cons (High) MMBTU]]/1000/1000/365</f>
        <v>2.5848416438356168E-3</v>
      </c>
      <c r="P123" s="6"/>
    </row>
    <row r="124" spans="1:16" ht="15.75" customHeight="1" x14ac:dyDescent="0.3">
      <c r="A124" s="29" t="s">
        <v>197</v>
      </c>
      <c r="B124" s="29" t="s">
        <v>198</v>
      </c>
      <c r="C124" s="30" t="str">
        <f>+RIGHT(Table4[[#This Row],[City]],2)</f>
        <v>NH</v>
      </c>
      <c r="D124" s="29" t="s">
        <v>60</v>
      </c>
      <c r="E124" s="37">
        <v>2014</v>
      </c>
      <c r="F124" s="29" t="s">
        <v>0</v>
      </c>
      <c r="G124" s="29" t="s">
        <v>5</v>
      </c>
      <c r="H124" s="38">
        <v>3000000</v>
      </c>
      <c r="I124" s="34"/>
      <c r="J124" s="39"/>
      <c r="K124" s="40">
        <v>0.88</v>
      </c>
      <c r="L124" s="34"/>
      <c r="M124" s="35"/>
      <c r="N124" s="34"/>
      <c r="O124" s="35"/>
      <c r="P124" s="6"/>
    </row>
    <row r="125" spans="1:16" ht="15.75" customHeight="1" x14ac:dyDescent="0.3">
      <c r="A125" s="29" t="s">
        <v>361</v>
      </c>
      <c r="B125" s="29" t="s">
        <v>362</v>
      </c>
      <c r="C125" s="30" t="str">
        <f>+RIGHT(Table4[[#This Row],[City]],2)</f>
        <v>CA</v>
      </c>
      <c r="D125" s="29" t="s">
        <v>312</v>
      </c>
      <c r="E125" s="39">
        <v>2019</v>
      </c>
      <c r="F125" s="29" t="s">
        <v>110</v>
      </c>
      <c r="G125" s="29" t="s">
        <v>1</v>
      </c>
      <c r="H125" s="67">
        <v>170000000</v>
      </c>
      <c r="I125" s="34">
        <v>80000</v>
      </c>
      <c r="J125" s="39" t="s">
        <v>38</v>
      </c>
      <c r="K125" s="40">
        <v>0.76</v>
      </c>
      <c r="L125" s="34">
        <f>Table4[[#This Row],[Capacity]]*30.87*Table4[[#This Row],[Utilization]]</f>
        <v>1876896</v>
      </c>
      <c r="M125" s="35">
        <f>Table4[[#This Row],[NG Cons (Low) MMBTU]]/1000/1000/365</f>
        <v>5.1421808219178078E-3</v>
      </c>
      <c r="N125" s="34">
        <f>Table4[[#This Row],[Capacity]]*36.58</f>
        <v>2926400</v>
      </c>
      <c r="O125" s="35">
        <f>Table4[[#This Row],[NG Cons (High) MMBTU]]/1000/1000/365</f>
        <v>8.0175342465753432E-3</v>
      </c>
      <c r="P125" s="6"/>
    </row>
    <row r="126" spans="1:16" ht="15.75" customHeight="1" x14ac:dyDescent="0.3">
      <c r="A126" s="29" t="s">
        <v>341</v>
      </c>
      <c r="B126" s="29" t="s">
        <v>205</v>
      </c>
      <c r="C126" s="30" t="str">
        <f>+RIGHT(Table4[[#This Row],[City]],2)</f>
        <v>TX</v>
      </c>
      <c r="D126" s="29" t="s">
        <v>78</v>
      </c>
      <c r="E126" s="39">
        <v>2015</v>
      </c>
      <c r="F126" s="29" t="s">
        <v>116</v>
      </c>
      <c r="G126" s="29" t="s">
        <v>1</v>
      </c>
      <c r="H126" s="38"/>
      <c r="I126" s="34"/>
      <c r="J126" s="39"/>
      <c r="K126" s="33"/>
      <c r="L126" s="34"/>
      <c r="M126" s="35">
        <f>Table4[[#This Row],[NG Cons (Low) MMBTU]]/1000/1000/365</f>
        <v>0</v>
      </c>
      <c r="N126" s="34"/>
      <c r="O126" s="35"/>
      <c r="P126" s="6"/>
    </row>
    <row r="127" spans="1:16" ht="15.75" customHeight="1" x14ac:dyDescent="0.3">
      <c r="A127" s="29" t="s">
        <v>363</v>
      </c>
      <c r="B127" s="29" t="s">
        <v>364</v>
      </c>
      <c r="C127" s="30" t="str">
        <f>+RIGHT(Table4[[#This Row],[City]],2)</f>
        <v>TX</v>
      </c>
      <c r="D127" s="29" t="s">
        <v>312</v>
      </c>
      <c r="E127" s="39">
        <v>2019</v>
      </c>
      <c r="F127" s="29" t="s">
        <v>116</v>
      </c>
      <c r="G127" s="29" t="s">
        <v>1</v>
      </c>
      <c r="H127" s="38"/>
      <c r="I127" s="34"/>
      <c r="J127" s="39"/>
      <c r="K127" s="40"/>
      <c r="L127" s="34"/>
      <c r="M127" s="35">
        <f>Table4[[#This Row],[NG Cons (Low) MMBTU]]/1000/1000/365</f>
        <v>0</v>
      </c>
      <c r="N127" s="34"/>
      <c r="O127" s="35"/>
      <c r="P127" s="6"/>
    </row>
    <row r="128" spans="1:16" ht="15.75" customHeight="1" x14ac:dyDescent="0.3">
      <c r="A128" s="29" t="s">
        <v>150</v>
      </c>
      <c r="B128" s="29" t="s">
        <v>134</v>
      </c>
      <c r="C128" s="30" t="str">
        <f>+RIGHT(Table4[[#This Row],[City]],2)</f>
        <v>TX</v>
      </c>
      <c r="D128" s="29" t="s">
        <v>133</v>
      </c>
      <c r="E128" s="29">
        <v>2012</v>
      </c>
      <c r="F128" s="29" t="s">
        <v>247</v>
      </c>
      <c r="G128" s="29" t="s">
        <v>5</v>
      </c>
      <c r="H128" s="38">
        <v>75000000</v>
      </c>
      <c r="I128" s="34">
        <v>43000</v>
      </c>
      <c r="J128" s="39" t="s">
        <v>76</v>
      </c>
      <c r="K128" s="40">
        <v>0.76</v>
      </c>
      <c r="L128" s="34"/>
      <c r="M128" s="35">
        <f>Table4[[#This Row],[NG Cons (Low) MMBTU]]/1000/1000/365</f>
        <v>0</v>
      </c>
      <c r="N128" s="34"/>
      <c r="O128" s="35">
        <f>Table4[[#This Row],[NG Cons (High) MMBTU]]/1000/1000/365</f>
        <v>0</v>
      </c>
      <c r="P128" s="6"/>
    </row>
    <row r="129" spans="1:16" s="18" customFormat="1" ht="15.75" customHeight="1" x14ac:dyDescent="0.3">
      <c r="A129" s="29" t="s">
        <v>200</v>
      </c>
      <c r="B129" s="29" t="s">
        <v>201</v>
      </c>
      <c r="C129" s="30" t="str">
        <f>+RIGHT(Table4[[#This Row],[City]],2)</f>
        <v>IA</v>
      </c>
      <c r="D129" s="29" t="s">
        <v>67</v>
      </c>
      <c r="E129" s="29">
        <v>2015</v>
      </c>
      <c r="F129" s="29" t="s">
        <v>253</v>
      </c>
      <c r="G129" s="29" t="s">
        <v>1</v>
      </c>
      <c r="H129" s="38">
        <v>131500000</v>
      </c>
      <c r="I129" s="34">
        <v>317514</v>
      </c>
      <c r="J129" s="39" t="s">
        <v>66</v>
      </c>
      <c r="K129" s="40">
        <v>0.76</v>
      </c>
      <c r="L129" s="34">
        <f>Table4[[#This Row],[Capacity]]*6*Table4[[#This Row],[Utilization]]</f>
        <v>1447863.84</v>
      </c>
      <c r="M129" s="35">
        <f>Table4[[#This Row],[NG Cons (Low) MMBTU]]/1000/1000/365</f>
        <v>3.9667502465753424E-3</v>
      </c>
      <c r="N129" s="34">
        <f>Table4[[#This Row],[NG Cons (Low) MMBTU]]</f>
        <v>1447863.84</v>
      </c>
      <c r="O129" s="35">
        <f>Table4[[#This Row],[NG Cons (High) MMBTU]]/1000/1000/365</f>
        <v>3.9667502465753424E-3</v>
      </c>
    </row>
    <row r="130" spans="1:16" ht="15.75" customHeight="1" x14ac:dyDescent="0.3">
      <c r="A130" s="29" t="s">
        <v>21</v>
      </c>
      <c r="B130" s="29" t="s">
        <v>20</v>
      </c>
      <c r="C130" s="30" t="str">
        <f>+RIGHT(Table4[[#This Row],[City]],2)</f>
        <v>OH</v>
      </c>
      <c r="D130" s="29" t="s">
        <v>168</v>
      </c>
      <c r="E130" s="37">
        <v>2014</v>
      </c>
      <c r="F130" s="29" t="s">
        <v>0</v>
      </c>
      <c r="G130" s="29" t="s">
        <v>5</v>
      </c>
      <c r="H130" s="38">
        <v>180000000</v>
      </c>
      <c r="I130" s="34"/>
      <c r="J130" s="39"/>
      <c r="K130" s="40"/>
      <c r="L130" s="34"/>
      <c r="M130" s="35"/>
      <c r="N130" s="34"/>
      <c r="O130" s="35"/>
      <c r="P130" s="6"/>
    </row>
    <row r="131" spans="1:16" ht="15.75" customHeight="1" x14ac:dyDescent="0.3">
      <c r="A131" s="29" t="s">
        <v>21</v>
      </c>
      <c r="B131" s="29" t="s">
        <v>20</v>
      </c>
      <c r="C131" s="30" t="str">
        <f>+RIGHT(Table4[[#This Row],[City]],2)</f>
        <v>OH</v>
      </c>
      <c r="D131" s="29" t="s">
        <v>168</v>
      </c>
      <c r="E131" s="29">
        <v>2012</v>
      </c>
      <c r="F131" s="29" t="s">
        <v>247</v>
      </c>
      <c r="G131" s="29" t="s">
        <v>5</v>
      </c>
      <c r="H131" s="38">
        <v>98000000</v>
      </c>
      <c r="I131" s="34"/>
      <c r="J131" s="29"/>
      <c r="K131" s="40"/>
      <c r="L131" s="34"/>
      <c r="M131" s="35">
        <f>Table4[[#This Row],[NG Cons (Low) MMBTU]]/1000/1000/365</f>
        <v>0</v>
      </c>
      <c r="N131" s="34"/>
      <c r="O131" s="35">
        <f>Table4[[#This Row],[NG Cons (High) MMBTU]]/1000/1000/365</f>
        <v>0</v>
      </c>
      <c r="P131" s="6"/>
    </row>
    <row r="132" spans="1:16" ht="15.75" customHeight="1" x14ac:dyDescent="0.3">
      <c r="A132" s="29" t="s">
        <v>13</v>
      </c>
      <c r="B132" s="29" t="s">
        <v>12</v>
      </c>
      <c r="C132" s="30" t="str">
        <f>+RIGHT(Table4[[#This Row],[City]],2)</f>
        <v>AL</v>
      </c>
      <c r="D132" s="29" t="s">
        <v>4</v>
      </c>
      <c r="E132" s="29">
        <v>2012</v>
      </c>
      <c r="F132" s="29" t="s">
        <v>247</v>
      </c>
      <c r="G132" s="29" t="s">
        <v>5</v>
      </c>
      <c r="H132" s="38">
        <v>20000000</v>
      </c>
      <c r="I132" s="34"/>
      <c r="J132" s="29"/>
      <c r="K132" s="40">
        <v>0.76</v>
      </c>
      <c r="L132" s="34"/>
      <c r="M132" s="35">
        <f>Table4[[#This Row],[NG Cons (Low) MMBTU]]/1000/1000/365</f>
        <v>0</v>
      </c>
      <c r="N132" s="34"/>
      <c r="O132" s="35">
        <f>Table4[[#This Row],[NG Cons (High) MMBTU]]/1000/1000/365</f>
        <v>0</v>
      </c>
      <c r="P132" s="6"/>
    </row>
    <row r="133" spans="1:16" ht="15.75" customHeight="1" x14ac:dyDescent="0.3">
      <c r="A133" s="29" t="s">
        <v>64</v>
      </c>
      <c r="B133" s="29" t="s">
        <v>63</v>
      </c>
      <c r="C133" s="30" t="str">
        <f>+RIGHT(Table4[[#This Row],[City]],2)</f>
        <v>MI</v>
      </c>
      <c r="D133" s="29" t="s">
        <v>60</v>
      </c>
      <c r="E133" s="29">
        <v>2012</v>
      </c>
      <c r="F133" s="29" t="s">
        <v>247</v>
      </c>
      <c r="G133" s="29" t="s">
        <v>5</v>
      </c>
      <c r="H133" s="38">
        <v>2560000</v>
      </c>
      <c r="I133" s="34"/>
      <c r="J133" s="29"/>
      <c r="K133" s="40">
        <v>0.88</v>
      </c>
      <c r="L133" s="34"/>
      <c r="M133" s="35">
        <f>Table4[[#This Row],[NG Cons (Low) MMBTU]]/1000/1000/365</f>
        <v>0</v>
      </c>
      <c r="N133" s="34"/>
      <c r="O133" s="35">
        <f>Table4[[#This Row],[NG Cons (High) MMBTU]]/1000/1000/365</f>
        <v>0</v>
      </c>
      <c r="P133" s="6"/>
    </row>
    <row r="134" spans="1:16" ht="15.75" customHeight="1" x14ac:dyDescent="0.3">
      <c r="A134" s="29" t="s">
        <v>19</v>
      </c>
      <c r="B134" s="29" t="s">
        <v>297</v>
      </c>
      <c r="C134" s="30" t="str">
        <f>+RIGHT(Table4[[#This Row],[City]],2)</f>
        <v>TX</v>
      </c>
      <c r="D134" s="29" t="s">
        <v>4</v>
      </c>
      <c r="E134" s="39">
        <v>2015</v>
      </c>
      <c r="F134" s="29" t="s">
        <v>84</v>
      </c>
      <c r="G134" s="29" t="s">
        <v>5</v>
      </c>
      <c r="H134" s="38">
        <v>125000000</v>
      </c>
      <c r="I134" s="34">
        <v>120000</v>
      </c>
      <c r="J134" s="39" t="s">
        <v>38</v>
      </c>
      <c r="K134" s="40">
        <v>0.76</v>
      </c>
      <c r="L134" s="34"/>
      <c r="M134" s="35"/>
      <c r="N134" s="34"/>
      <c r="O134" s="35"/>
      <c r="P134" s="6"/>
    </row>
    <row r="135" spans="1:16" ht="15.75" customHeight="1" x14ac:dyDescent="0.3">
      <c r="A135" s="29" t="s">
        <v>19</v>
      </c>
      <c r="B135" s="29" t="s">
        <v>2</v>
      </c>
      <c r="C135" s="30" t="str">
        <f>+RIGHT(Table4[[#This Row],[City]],2)</f>
        <v>LA</v>
      </c>
      <c r="D135" s="29" t="s">
        <v>4</v>
      </c>
      <c r="E135" s="37">
        <v>2014</v>
      </c>
      <c r="F135" s="29" t="s">
        <v>0</v>
      </c>
      <c r="G135" s="29" t="s">
        <v>5</v>
      </c>
      <c r="H135" s="38">
        <v>78000000</v>
      </c>
      <c r="I135" s="34">
        <v>50000</v>
      </c>
      <c r="J135" s="39" t="s">
        <v>38</v>
      </c>
      <c r="K135" s="40">
        <v>0.76</v>
      </c>
      <c r="L135" s="34"/>
      <c r="M135" s="35"/>
      <c r="N135" s="34"/>
      <c r="O135" s="35"/>
      <c r="P135" s="6"/>
    </row>
    <row r="136" spans="1:16" ht="15.75" customHeight="1" x14ac:dyDescent="0.3">
      <c r="A136" s="29" t="s">
        <v>19</v>
      </c>
      <c r="B136" s="29" t="s">
        <v>18</v>
      </c>
      <c r="C136" s="30" t="str">
        <f>+RIGHT(Table4[[#This Row],[City]],2)</f>
        <v>AL</v>
      </c>
      <c r="D136" s="29" t="s">
        <v>4</v>
      </c>
      <c r="E136" s="37">
        <v>2014</v>
      </c>
      <c r="F136" s="29" t="s">
        <v>0</v>
      </c>
      <c r="G136" s="29" t="s">
        <v>5</v>
      </c>
      <c r="H136" s="38">
        <v>40000000</v>
      </c>
      <c r="I136" s="34">
        <v>4500</v>
      </c>
      <c r="J136" s="39" t="s">
        <v>38</v>
      </c>
      <c r="K136" s="40">
        <v>0.76</v>
      </c>
      <c r="L136" s="34"/>
      <c r="M136" s="35"/>
      <c r="N136" s="34"/>
      <c r="O136" s="35"/>
      <c r="P136" s="6"/>
    </row>
    <row r="137" spans="1:16" ht="15.75" customHeight="1" x14ac:dyDescent="0.3">
      <c r="A137" s="29" t="s">
        <v>202</v>
      </c>
      <c r="B137" s="29" t="s">
        <v>203</v>
      </c>
      <c r="C137" s="30" t="str">
        <f>+RIGHT(Table4[[#This Row],[City]],2)</f>
        <v>WV</v>
      </c>
      <c r="D137" s="29" t="s">
        <v>4</v>
      </c>
      <c r="E137" s="37" t="s">
        <v>37</v>
      </c>
      <c r="F137" s="29" t="s">
        <v>116</v>
      </c>
      <c r="G137" s="29" t="s">
        <v>5</v>
      </c>
      <c r="H137" s="38"/>
      <c r="I137" s="34"/>
      <c r="J137" s="39"/>
      <c r="K137" s="40">
        <v>0.76</v>
      </c>
      <c r="L137" s="34"/>
      <c r="M137" s="35"/>
      <c r="N137" s="34"/>
      <c r="O137" s="35">
        <f>Table4[[#This Row],[NG Cons (High) MMBTU]]/1000/1000/365</f>
        <v>0</v>
      </c>
      <c r="P137" s="6"/>
    </row>
    <row r="138" spans="1:16" ht="15.75" customHeight="1" x14ac:dyDescent="0.3">
      <c r="A138" s="29" t="s">
        <v>214</v>
      </c>
      <c r="B138" s="29" t="s">
        <v>73</v>
      </c>
      <c r="C138" s="30" t="str">
        <f>+RIGHT(Table4[[#This Row],[City]],2)</f>
        <v>TX</v>
      </c>
      <c r="D138" s="29" t="s">
        <v>4</v>
      </c>
      <c r="E138" s="29">
        <v>2016</v>
      </c>
      <c r="F138" s="29" t="s">
        <v>227</v>
      </c>
      <c r="G138" s="29" t="s">
        <v>1</v>
      </c>
      <c r="H138" s="38">
        <v>350000000</v>
      </c>
      <c r="I138" s="34">
        <v>330000</v>
      </c>
      <c r="J138" s="39" t="s">
        <v>38</v>
      </c>
      <c r="K138" s="40">
        <v>0.76</v>
      </c>
      <c r="L138" s="34"/>
      <c r="M138" s="35">
        <f>Table4[[#This Row],[NG Cons (Low) MMBTU]]/1000/1000/365</f>
        <v>0</v>
      </c>
      <c r="N138" s="34"/>
      <c r="O138" s="35">
        <f>Table4[[#This Row],[NG Cons (High) MMBTU]]/1000/1000/365</f>
        <v>0</v>
      </c>
      <c r="P138" s="6"/>
    </row>
    <row r="139" spans="1:16" ht="15.75" customHeight="1" x14ac:dyDescent="0.3">
      <c r="A139" s="29" t="s">
        <v>278</v>
      </c>
      <c r="B139" s="29" t="s">
        <v>111</v>
      </c>
      <c r="C139" s="30" t="str">
        <f>+RIGHT(Table4[[#This Row],[City]],2)</f>
        <v>LA</v>
      </c>
      <c r="D139" s="29" t="s">
        <v>312</v>
      </c>
      <c r="E139" s="29">
        <v>2017</v>
      </c>
      <c r="F139" s="29" t="s">
        <v>69</v>
      </c>
      <c r="G139" s="29" t="s">
        <v>1</v>
      </c>
      <c r="H139" s="38">
        <v>850000000</v>
      </c>
      <c r="I139" s="34">
        <v>800000</v>
      </c>
      <c r="J139" s="39" t="s">
        <v>38</v>
      </c>
      <c r="K139" s="40">
        <v>0.76</v>
      </c>
      <c r="L139" s="34">
        <f>Table4[[#This Row],[Capacity]]*30.87*Table4[[#This Row],[Utilization]]</f>
        <v>18768960</v>
      </c>
      <c r="M139" s="35">
        <f>Table4[[#This Row],[NG Cons (Low) MMBTU]]/1000/1000/365</f>
        <v>5.1421808219178085E-2</v>
      </c>
      <c r="N139" s="34">
        <f>Table4[[#This Row],[Capacity]]*36.58</f>
        <v>29264000</v>
      </c>
      <c r="O139" s="35">
        <f>Table4[[#This Row],[NG Cons (High) MMBTU]]/1000/1000/365</f>
        <v>8.0175342465753419E-2</v>
      </c>
      <c r="P139" s="6"/>
    </row>
    <row r="140" spans="1:16" ht="15.75" customHeight="1" x14ac:dyDescent="0.3">
      <c r="A140" s="29" t="s">
        <v>125</v>
      </c>
      <c r="B140" s="29" t="s">
        <v>79</v>
      </c>
      <c r="C140" s="30" t="str">
        <f>+RIGHT(Table4[[#This Row],[City]],2)</f>
        <v>LA</v>
      </c>
      <c r="D140" s="29" t="s">
        <v>315</v>
      </c>
      <c r="E140" s="29">
        <v>2018</v>
      </c>
      <c r="F140" s="29" t="s">
        <v>110</v>
      </c>
      <c r="G140" s="29" t="s">
        <v>57</v>
      </c>
      <c r="H140" s="38">
        <f>Table4[[#This Row],[Capacity]]*3000</f>
        <v>3900000000</v>
      </c>
      <c r="I140" s="34">
        <v>1300000</v>
      </c>
      <c r="J140" s="39" t="s">
        <v>38</v>
      </c>
      <c r="K140" s="40">
        <v>0.76</v>
      </c>
      <c r="L140" s="34">
        <f>19.3*Table4[[#This Row],[Capacity]]*Table4[[#This Row],[Utilization]]</f>
        <v>19068400</v>
      </c>
      <c r="M140" s="35">
        <f>Table4[[#This Row],[NG Cons (Low) MMBTU]]/1000/1000/365</f>
        <v>5.2242191780821921E-2</v>
      </c>
      <c r="N140" s="34">
        <f>Table4[[#This Row],[Capacity]]*30.87*Table4[[#This Row],[Utilization]]</f>
        <v>30499560</v>
      </c>
      <c r="O140" s="35">
        <f>Table4[[#This Row],[NG Cons (High) MMBTU]]/1000/1000/365</f>
        <v>8.356043835616439E-2</v>
      </c>
      <c r="P140" s="6"/>
    </row>
    <row r="141" spans="1:16" ht="15.75" customHeight="1" x14ac:dyDescent="0.3">
      <c r="A141" s="29" t="s">
        <v>125</v>
      </c>
      <c r="B141" s="29" t="s">
        <v>215</v>
      </c>
      <c r="C141" s="30" t="str">
        <f>+RIGHT(Table4[[#This Row],[City]],2)</f>
        <v>AL</v>
      </c>
      <c r="D141" s="29" t="s">
        <v>4</v>
      </c>
      <c r="E141" s="29">
        <v>2015</v>
      </c>
      <c r="F141" s="29" t="s">
        <v>84</v>
      </c>
      <c r="G141" s="29" t="s">
        <v>5</v>
      </c>
      <c r="H141" s="38">
        <v>190000000</v>
      </c>
      <c r="I141" s="34">
        <v>500000</v>
      </c>
      <c r="J141" s="39" t="s">
        <v>38</v>
      </c>
      <c r="K141" s="40">
        <v>0.76</v>
      </c>
      <c r="L141" s="34"/>
      <c r="M141" s="35"/>
      <c r="N141" s="34"/>
      <c r="O141" s="35"/>
      <c r="P141" s="6"/>
    </row>
    <row r="142" spans="1:16" ht="15.75" customHeight="1" x14ac:dyDescent="0.3">
      <c r="A142" s="29" t="s">
        <v>216</v>
      </c>
      <c r="B142" s="29" t="s">
        <v>180</v>
      </c>
      <c r="C142" s="30" t="str">
        <f>+RIGHT(Table4[[#This Row],[City]],2)</f>
        <v>TX</v>
      </c>
      <c r="D142" s="29" t="s">
        <v>315</v>
      </c>
      <c r="E142" s="29">
        <v>2013</v>
      </c>
      <c r="F142" s="29" t="s">
        <v>69</v>
      </c>
      <c r="G142" s="29" t="s">
        <v>5</v>
      </c>
      <c r="H142" s="38">
        <v>150000000</v>
      </c>
      <c r="I142" s="34">
        <v>115000</v>
      </c>
      <c r="J142" s="39" t="s">
        <v>38</v>
      </c>
      <c r="K142" s="40">
        <v>0.76</v>
      </c>
      <c r="L142" s="34">
        <f>19.3*Table4[[#This Row],[Capacity]]*Table4[[#This Row],[Utilization]]</f>
        <v>1686820</v>
      </c>
      <c r="M142" s="35">
        <f>Table4[[#This Row],[NG Cons (Low) MMBTU]]/1000/1000/365</f>
        <v>4.6214246575342465E-3</v>
      </c>
      <c r="N142" s="34">
        <f>Table4[[#This Row],[Capacity]]*30.87*Table4[[#This Row],[Utilization]]</f>
        <v>2698038</v>
      </c>
      <c r="O142" s="35">
        <f>Table4[[#This Row],[NG Cons (High) MMBTU]]/1000/1000/365</f>
        <v>7.3918849315068496E-3</v>
      </c>
      <c r="P142" s="6"/>
    </row>
    <row r="143" spans="1:16" ht="15.75" customHeight="1" x14ac:dyDescent="0.3">
      <c r="A143" s="29" t="s">
        <v>216</v>
      </c>
      <c r="B143" s="29"/>
      <c r="C143" s="30" t="s">
        <v>245</v>
      </c>
      <c r="D143" s="29" t="s">
        <v>4</v>
      </c>
      <c r="E143" s="39">
        <v>2019</v>
      </c>
      <c r="F143" s="29" t="s">
        <v>84</v>
      </c>
      <c r="G143" s="29" t="s">
        <v>1</v>
      </c>
      <c r="H143" s="38">
        <v>85000000</v>
      </c>
      <c r="I143" s="34">
        <v>120000</v>
      </c>
      <c r="J143" s="39" t="s">
        <v>38</v>
      </c>
      <c r="K143" s="33"/>
      <c r="L143" s="34"/>
      <c r="M143" s="35"/>
      <c r="N143" s="34"/>
      <c r="O143" s="35"/>
      <c r="P143" s="6"/>
    </row>
    <row r="144" spans="1:16" ht="15.75" customHeight="1" x14ac:dyDescent="0.3">
      <c r="A144" s="29" t="s">
        <v>216</v>
      </c>
      <c r="B144" s="29" t="s">
        <v>183</v>
      </c>
      <c r="C144" s="30" t="str">
        <f>+RIGHT(Table4[[#This Row],[City]],2)</f>
        <v>TX</v>
      </c>
      <c r="D144" s="29" t="s">
        <v>4</v>
      </c>
      <c r="E144" s="39">
        <v>2017</v>
      </c>
      <c r="F144" s="29" t="s">
        <v>116</v>
      </c>
      <c r="G144" s="29" t="s">
        <v>5</v>
      </c>
      <c r="H144" s="38">
        <v>30000000</v>
      </c>
      <c r="I144" s="34">
        <v>20000</v>
      </c>
      <c r="J144" s="39" t="s">
        <v>38</v>
      </c>
      <c r="K144" s="33"/>
      <c r="L144" s="34"/>
      <c r="M144" s="35"/>
      <c r="N144" s="34"/>
      <c r="O144" s="35"/>
      <c r="P144" s="6"/>
    </row>
    <row r="145" spans="1:16" ht="15.75" customHeight="1" x14ac:dyDescent="0.3">
      <c r="A145" s="29" t="s">
        <v>216</v>
      </c>
      <c r="B145" s="29" t="s">
        <v>338</v>
      </c>
      <c r="C145" s="30" t="str">
        <f>+RIGHT(Table4[[#This Row],[City]],2)</f>
        <v>TX</v>
      </c>
      <c r="D145" s="29" t="s">
        <v>4</v>
      </c>
      <c r="E145" s="61">
        <v>2018</v>
      </c>
      <c r="F145" s="29" t="s">
        <v>0</v>
      </c>
      <c r="G145" s="29" t="s">
        <v>1</v>
      </c>
      <c r="H145" s="38">
        <v>450000000</v>
      </c>
      <c r="I145" s="34">
        <v>420000</v>
      </c>
      <c r="J145" s="39" t="s">
        <v>38</v>
      </c>
      <c r="K145" s="40"/>
      <c r="L145" s="34"/>
      <c r="M145" s="35"/>
      <c r="N145" s="34"/>
      <c r="O145" s="35"/>
      <c r="P145" s="6"/>
    </row>
    <row r="146" spans="1:16" ht="15.75" customHeight="1" x14ac:dyDescent="0.3">
      <c r="A146" s="29" t="s">
        <v>343</v>
      </c>
      <c r="B146" s="29" t="s">
        <v>126</v>
      </c>
      <c r="C146" s="30" t="str">
        <f>+RIGHT(Table4[[#This Row],[City]],2)</f>
        <v>TX</v>
      </c>
      <c r="D146" s="29" t="s">
        <v>315</v>
      </c>
      <c r="E146" s="17">
        <v>2018</v>
      </c>
      <c r="F146" s="29" t="s">
        <v>0</v>
      </c>
      <c r="G146" s="29" t="s">
        <v>1</v>
      </c>
      <c r="H146" s="38">
        <v>1000000000</v>
      </c>
      <c r="I146" s="34">
        <v>544310.84400000004</v>
      </c>
      <c r="J146" s="32" t="s">
        <v>38</v>
      </c>
      <c r="K146" s="32">
        <v>0.76</v>
      </c>
      <c r="L146" s="34">
        <f>19.3*Table4[[#This Row],[Capacity]]*Table4[[#This Row],[Utilization]]</f>
        <v>7983951.4597920002</v>
      </c>
      <c r="M146" s="35">
        <f>Table4[[#This Row],[NG Cons (Low) MMBTU]]/1000/1000/365</f>
        <v>2.1873839615868494E-2</v>
      </c>
      <c r="N146" s="34">
        <f>Table4[[#This Row],[Capacity]]*30.87*Table4[[#This Row],[Utilization]]</f>
        <v>12770185.573252801</v>
      </c>
      <c r="O146" s="35">
        <f>Table4[[#This Row],[NG Cons (High) MMBTU]]/1000/1000/365</f>
        <v>3.4986809789733696E-2</v>
      </c>
      <c r="P146" s="6"/>
    </row>
    <row r="147" spans="1:16" ht="15.75" customHeight="1" x14ac:dyDescent="0.3">
      <c r="A147" s="29" t="s">
        <v>365</v>
      </c>
      <c r="B147" s="29" t="s">
        <v>366</v>
      </c>
      <c r="C147" s="30" t="str">
        <f>+RIGHT(Table4[[#This Row],[City]],2)</f>
        <v>LA</v>
      </c>
      <c r="D147" s="29" t="s">
        <v>312</v>
      </c>
      <c r="E147" s="17">
        <v>2018</v>
      </c>
      <c r="F147" s="29" t="s">
        <v>110</v>
      </c>
      <c r="G147" s="29" t="s">
        <v>1</v>
      </c>
      <c r="H147" s="38">
        <v>265000000</v>
      </c>
      <c r="I147" s="34">
        <v>500000</v>
      </c>
      <c r="J147" s="32" t="s">
        <v>38</v>
      </c>
      <c r="K147" s="40">
        <v>0.76</v>
      </c>
      <c r="L147" s="34">
        <f>Table4[[#This Row],[Capacity]]*30.87*Table4[[#This Row],[Utilization]]</f>
        <v>11730600</v>
      </c>
      <c r="M147" s="35">
        <f>Table4[[#This Row],[NG Cons (Low) MMBTU]]/1000/1000/365</f>
        <v>3.2138630136986306E-2</v>
      </c>
      <c r="N147" s="34">
        <f>Table4[[#This Row],[Capacity]]*36.58</f>
        <v>18290000</v>
      </c>
      <c r="O147" s="35">
        <f>Table4[[#This Row],[NG Cons (High) MMBTU]]/1000/1000/365</f>
        <v>5.0109589041095887E-2</v>
      </c>
      <c r="P147" s="6"/>
    </row>
    <row r="148" spans="1:16" ht="15.75" customHeight="1" x14ac:dyDescent="0.3">
      <c r="A148" s="29" t="s">
        <v>217</v>
      </c>
      <c r="B148" s="29" t="s">
        <v>16</v>
      </c>
      <c r="C148" s="30" t="str">
        <f>+RIGHT(Table4[[#This Row],[City]],2)</f>
        <v>TX</v>
      </c>
      <c r="D148" s="29" t="s">
        <v>4</v>
      </c>
      <c r="E148" s="29">
        <v>2014</v>
      </c>
      <c r="F148" s="29" t="s">
        <v>0</v>
      </c>
      <c r="G148" s="29" t="s">
        <v>1</v>
      </c>
      <c r="H148" s="38">
        <v>100000000</v>
      </c>
      <c r="I148" s="34"/>
      <c r="J148" s="39"/>
      <c r="K148" s="40">
        <v>0.76</v>
      </c>
      <c r="L148" s="34"/>
      <c r="M148" s="35"/>
      <c r="N148" s="34"/>
      <c r="O148" s="35"/>
      <c r="P148" s="6"/>
    </row>
    <row r="149" spans="1:16" ht="15.75" customHeight="1" x14ac:dyDescent="0.3">
      <c r="A149" s="29" t="s">
        <v>217</v>
      </c>
      <c r="B149" s="29" t="s">
        <v>218</v>
      </c>
      <c r="C149" s="30" t="str">
        <f>+RIGHT(Table4[[#This Row],[City]],2)</f>
        <v>TX</v>
      </c>
      <c r="D149" s="29" t="s">
        <v>312</v>
      </c>
      <c r="E149" s="29">
        <v>2017</v>
      </c>
      <c r="F149" s="29" t="s">
        <v>84</v>
      </c>
      <c r="G149" s="29" t="s">
        <v>1</v>
      </c>
      <c r="H149" s="38">
        <v>500000000</v>
      </c>
      <c r="I149" s="34">
        <v>400000</v>
      </c>
      <c r="J149" s="39" t="s">
        <v>38</v>
      </c>
      <c r="K149" s="40">
        <v>0.76</v>
      </c>
      <c r="L149" s="34">
        <f>Table4[[#This Row],[Capacity]]*30.87*Table4[[#This Row],[Utilization]]</f>
        <v>9384480</v>
      </c>
      <c r="M149" s="35">
        <f>Table4[[#This Row],[NG Cons (Low) MMBTU]]/1000/1000/365</f>
        <v>2.5710904109589042E-2</v>
      </c>
      <c r="N149" s="34">
        <f>Table4[[#This Row],[Capacity]]*36.58</f>
        <v>14632000</v>
      </c>
      <c r="O149" s="35">
        <f>Table4[[#This Row],[NG Cons (High) MMBTU]]/1000/1000/365</f>
        <v>4.0087671232876709E-2</v>
      </c>
      <c r="P149" s="6"/>
    </row>
    <row r="150" spans="1:16" ht="13.5" customHeight="1" x14ac:dyDescent="0.3">
      <c r="A150" s="29" t="s">
        <v>367</v>
      </c>
      <c r="B150" s="29" t="s">
        <v>368</v>
      </c>
      <c r="C150" s="30" t="str">
        <f>+RIGHT(Table4[[#This Row],[City]],2)</f>
        <v>IA</v>
      </c>
      <c r="D150" s="29" t="s">
        <v>312</v>
      </c>
      <c r="E150" s="17">
        <v>2016</v>
      </c>
      <c r="F150" s="29" t="s">
        <v>69</v>
      </c>
      <c r="G150" s="29" t="s">
        <v>1</v>
      </c>
      <c r="H150" s="38">
        <v>2000000000</v>
      </c>
      <c r="I150" s="34">
        <v>1360777.11</v>
      </c>
      <c r="J150" s="32" t="s">
        <v>38</v>
      </c>
      <c r="K150" s="40">
        <v>0.76</v>
      </c>
      <c r="L150" s="34">
        <f>Table4[[#This Row],[Capacity]]*30.87*Table4[[#This Row],[Utilization]]</f>
        <v>31925463.933132</v>
      </c>
      <c r="M150" s="35">
        <f>Table4[[#This Row],[NG Cons (Low) MMBTU]]/1000/1000/365</f>
        <v>8.7467024474334243E-2</v>
      </c>
      <c r="N150" s="34">
        <f>Table4[[#This Row],[Capacity]]*36.58</f>
        <v>49777226.683800004</v>
      </c>
      <c r="O150" s="35">
        <f>Table4[[#This Row],[NG Cons (High) MMBTU]]/1000/1000/365</f>
        <v>0.13637596351726031</v>
      </c>
      <c r="P150" s="6"/>
    </row>
    <row r="151" spans="1:16" ht="15.75" customHeight="1" x14ac:dyDescent="0.3">
      <c r="A151" s="29" t="s">
        <v>319</v>
      </c>
      <c r="B151" s="29" t="s">
        <v>320</v>
      </c>
      <c r="C151" s="30" t="str">
        <f>+RIGHT(Table4[[#This Row],[City]],2)</f>
        <v>WS</v>
      </c>
      <c r="D151" s="29" t="s">
        <v>60</v>
      </c>
      <c r="E151" s="37" t="s">
        <v>37</v>
      </c>
      <c r="F151" s="29" t="s">
        <v>84</v>
      </c>
      <c r="G151" s="29" t="s">
        <v>5</v>
      </c>
      <c r="H151" s="38">
        <v>19000000</v>
      </c>
      <c r="I151" s="34"/>
      <c r="J151" s="39"/>
      <c r="K151" s="40">
        <v>0.88</v>
      </c>
      <c r="L151" s="34"/>
      <c r="M151" s="35"/>
      <c r="N151" s="34"/>
      <c r="O151" s="35">
        <f>Table4[[#This Row],[NG Cons (High) MMBTU]]/1000/1000/365</f>
        <v>0</v>
      </c>
      <c r="P151" s="6"/>
    </row>
    <row r="152" spans="1:16" ht="15.75" customHeight="1" x14ac:dyDescent="0.3">
      <c r="A152" s="29" t="s">
        <v>219</v>
      </c>
      <c r="B152" s="29" t="s">
        <v>220</v>
      </c>
      <c r="C152" s="30" t="str">
        <f>+RIGHT(Table4[[#This Row],[City]],2)</f>
        <v>TX</v>
      </c>
      <c r="D152" s="29" t="s">
        <v>4</v>
      </c>
      <c r="E152" s="29">
        <v>2015</v>
      </c>
      <c r="F152" s="29" t="s">
        <v>0</v>
      </c>
      <c r="G152" s="29" t="s">
        <v>5</v>
      </c>
      <c r="H152" s="38">
        <v>50000000</v>
      </c>
      <c r="I152" s="34">
        <v>20000</v>
      </c>
      <c r="J152" s="39" t="s">
        <v>38</v>
      </c>
      <c r="K152" s="40">
        <v>0.76</v>
      </c>
      <c r="L152" s="34"/>
      <c r="M152" s="35"/>
      <c r="N152" s="34"/>
      <c r="O152" s="35"/>
      <c r="P152" s="6"/>
    </row>
    <row r="153" spans="1:16" ht="15.75" customHeight="1" x14ac:dyDescent="0.3">
      <c r="A153" s="29" t="s">
        <v>59</v>
      </c>
      <c r="B153" s="29" t="s">
        <v>6</v>
      </c>
      <c r="C153" s="30" t="str">
        <f>+RIGHT(Table4[[#This Row],[City]],2)</f>
        <v>LA</v>
      </c>
      <c r="D153" s="29" t="s">
        <v>60</v>
      </c>
      <c r="E153" s="29">
        <v>2014</v>
      </c>
      <c r="F153" s="29" t="s">
        <v>0</v>
      </c>
      <c r="G153" s="29" t="s">
        <v>1</v>
      </c>
      <c r="H153" s="38">
        <v>150000000</v>
      </c>
      <c r="I153" s="34"/>
      <c r="J153" s="29"/>
      <c r="K153" s="40">
        <v>0.88</v>
      </c>
      <c r="L153" s="34"/>
      <c r="M153" s="35"/>
      <c r="N153" s="34"/>
      <c r="O153" s="35"/>
      <c r="P153" s="6"/>
    </row>
    <row r="154" spans="1:16" ht="15.75" customHeight="1" x14ac:dyDescent="0.3">
      <c r="A154" s="29" t="s">
        <v>270</v>
      </c>
      <c r="B154" s="29" t="s">
        <v>403</v>
      </c>
      <c r="C154" s="30" t="str">
        <f>+RIGHT(Table4[[#This Row],[City]],2)</f>
        <v>TX</v>
      </c>
      <c r="D154" s="29" t="s">
        <v>267</v>
      </c>
      <c r="E154" s="37">
        <v>2014</v>
      </c>
      <c r="F154" s="29" t="s">
        <v>0</v>
      </c>
      <c r="G154" s="29" t="s">
        <v>1</v>
      </c>
      <c r="H154" s="38">
        <v>180000000</v>
      </c>
      <c r="I154" s="34">
        <v>50000</v>
      </c>
      <c r="J154" s="39" t="s">
        <v>268</v>
      </c>
      <c r="K154" s="40"/>
      <c r="L154" s="34"/>
      <c r="M154" s="35"/>
      <c r="N154" s="34"/>
      <c r="O154" s="35"/>
      <c r="P154" s="6"/>
    </row>
    <row r="155" spans="1:16" ht="15.75" customHeight="1" x14ac:dyDescent="0.3">
      <c r="A155" s="29" t="s">
        <v>270</v>
      </c>
      <c r="B155" s="29" t="s">
        <v>403</v>
      </c>
      <c r="C155" s="30" t="str">
        <f>+RIGHT(Table4[[#This Row],[City]],2)</f>
        <v>TX</v>
      </c>
      <c r="D155" s="29" t="s">
        <v>267</v>
      </c>
      <c r="E155" s="37">
        <v>2015</v>
      </c>
      <c r="F155" s="29" t="s">
        <v>0</v>
      </c>
      <c r="G155" s="29" t="s">
        <v>1</v>
      </c>
      <c r="H155" s="38">
        <v>180000000</v>
      </c>
      <c r="I155" s="34">
        <v>50000</v>
      </c>
      <c r="J155" s="39" t="s">
        <v>268</v>
      </c>
      <c r="K155" s="40"/>
      <c r="L155" s="34"/>
      <c r="M155" s="35"/>
      <c r="N155" s="34"/>
      <c r="O155" s="35"/>
      <c r="P155" s="6"/>
    </row>
    <row r="156" spans="1:16" ht="15.75" customHeight="1" x14ac:dyDescent="0.3">
      <c r="A156" s="29" t="s">
        <v>92</v>
      </c>
      <c r="B156" s="29" t="s">
        <v>221</v>
      </c>
      <c r="C156" s="30" t="str">
        <f>+RIGHT(Table4[[#This Row],[City]],2)</f>
        <v>KS</v>
      </c>
      <c r="D156" s="29" t="s">
        <v>312</v>
      </c>
      <c r="E156" s="37" t="s">
        <v>37</v>
      </c>
      <c r="F156" s="29" t="s">
        <v>116</v>
      </c>
      <c r="G156" s="29" t="s">
        <v>5</v>
      </c>
      <c r="H156" s="38">
        <v>650000000</v>
      </c>
      <c r="I156" s="34">
        <v>50000</v>
      </c>
      <c r="J156" s="39" t="s">
        <v>38</v>
      </c>
      <c r="K156" s="40">
        <v>0.76</v>
      </c>
      <c r="L156" s="34">
        <f>Table4[[#This Row],[Capacity]]*30.87*Table4[[#This Row],[Utilization]]</f>
        <v>1173060</v>
      </c>
      <c r="M156" s="35">
        <f>Table4[[#This Row],[NG Cons (Low) MMBTU]]/1000/1000/365</f>
        <v>3.2138630136986303E-3</v>
      </c>
      <c r="N156" s="34">
        <f>Table4[[#This Row],[Capacity]]*36.58</f>
        <v>1829000</v>
      </c>
      <c r="O156" s="35">
        <f>Table4[[#This Row],[NG Cons (High) MMBTU]]/1000/1000/365</f>
        <v>5.0109589041095887E-3</v>
      </c>
      <c r="P156" s="6"/>
    </row>
    <row r="157" spans="1:16" ht="15.75" customHeight="1" x14ac:dyDescent="0.3">
      <c r="A157" s="29" t="s">
        <v>92</v>
      </c>
      <c r="B157" s="29" t="s">
        <v>222</v>
      </c>
      <c r="C157" s="30" t="str">
        <f>+RIGHT(Table4[[#This Row],[City]],2)</f>
        <v>NE</v>
      </c>
      <c r="D157" s="29" t="s">
        <v>312</v>
      </c>
      <c r="E157" s="37">
        <v>2016</v>
      </c>
      <c r="F157" s="29" t="s">
        <v>69</v>
      </c>
      <c r="G157" s="29" t="s">
        <v>5</v>
      </c>
      <c r="H157" s="38">
        <v>650000000</v>
      </c>
      <c r="I157" s="34">
        <v>50000</v>
      </c>
      <c r="J157" s="39" t="s">
        <v>38</v>
      </c>
      <c r="K157" s="40">
        <v>0.76</v>
      </c>
      <c r="L157" s="34">
        <f>Table4[[#This Row],[Capacity]]*30.87*Table4[[#This Row],[Utilization]]</f>
        <v>1173060</v>
      </c>
      <c r="M157" s="35">
        <f>Table4[[#This Row],[NG Cons (Low) MMBTU]]/1000/1000/365</f>
        <v>3.2138630136986303E-3</v>
      </c>
      <c r="N157" s="34">
        <f>Table4[[#This Row],[Capacity]]*36.58</f>
        <v>1829000</v>
      </c>
      <c r="O157" s="35">
        <f>Table4[[#This Row],[NG Cons (High) MMBTU]]/1000/1000/365</f>
        <v>5.0109589041095887E-3</v>
      </c>
      <c r="P157" s="6"/>
    </row>
    <row r="158" spans="1:16" ht="15.75" customHeight="1" x14ac:dyDescent="0.3">
      <c r="A158" s="29" t="s">
        <v>92</v>
      </c>
      <c r="B158" s="29" t="s">
        <v>91</v>
      </c>
      <c r="C158" s="30" t="str">
        <f>+RIGHT(Table4[[#This Row],[City]],2)</f>
        <v>OK</v>
      </c>
      <c r="D158" s="29" t="s">
        <v>312</v>
      </c>
      <c r="E158" s="29">
        <v>2017</v>
      </c>
      <c r="F158" s="29" t="s">
        <v>0</v>
      </c>
      <c r="G158" s="29" t="s">
        <v>1</v>
      </c>
      <c r="H158" s="38">
        <v>1300000000</v>
      </c>
      <c r="I158" s="34">
        <v>100000</v>
      </c>
      <c r="J158" s="39" t="s">
        <v>38</v>
      </c>
      <c r="K158" s="40">
        <v>0.76</v>
      </c>
      <c r="L158" s="34">
        <f>Table4[[#This Row],[Capacity]]*30.87*Table4[[#This Row],[Utilization]]</f>
        <v>2346120</v>
      </c>
      <c r="M158" s="35">
        <f>Table4[[#This Row],[NG Cons (Low) MMBTU]]/1000/1000/365</f>
        <v>6.4277260273972606E-3</v>
      </c>
      <c r="N158" s="34">
        <f>Table4[[#This Row],[Capacity]]*36.58</f>
        <v>3658000</v>
      </c>
      <c r="O158" s="35">
        <f>Table4[[#This Row],[NG Cons (High) MMBTU]]/1000/1000/365</f>
        <v>1.0021917808219177E-2</v>
      </c>
      <c r="P158" s="6"/>
    </row>
    <row r="159" spans="1:16" ht="15.75" customHeight="1" x14ac:dyDescent="0.3">
      <c r="A159" s="29" t="s">
        <v>223</v>
      </c>
      <c r="B159" s="29" t="s">
        <v>220</v>
      </c>
      <c r="C159" s="30" t="str">
        <f>+RIGHT(Table4[[#This Row],[City]],2)</f>
        <v>TX</v>
      </c>
      <c r="D159" s="29" t="s">
        <v>4</v>
      </c>
      <c r="E159" s="29">
        <v>2014</v>
      </c>
      <c r="F159" s="29" t="s">
        <v>0</v>
      </c>
      <c r="G159" s="29" t="s">
        <v>5</v>
      </c>
      <c r="H159" s="38">
        <v>40000000</v>
      </c>
      <c r="I159" s="34">
        <v>12000</v>
      </c>
      <c r="J159" s="39" t="s">
        <v>38</v>
      </c>
      <c r="K159" s="40">
        <v>0.76</v>
      </c>
      <c r="L159" s="34"/>
      <c r="M159" s="35"/>
      <c r="N159" s="34"/>
      <c r="O159" s="35"/>
      <c r="P159" s="6"/>
    </row>
    <row r="160" spans="1:16" ht="15.75" customHeight="1" x14ac:dyDescent="0.3">
      <c r="A160" s="29" t="s">
        <v>223</v>
      </c>
      <c r="B160" s="29" t="s">
        <v>183</v>
      </c>
      <c r="C160" s="30" t="str">
        <f>+RIGHT(Table4[[#This Row],[City]],2)</f>
        <v>TX</v>
      </c>
      <c r="D160" s="29" t="s">
        <v>4</v>
      </c>
      <c r="E160" s="29">
        <v>2015</v>
      </c>
      <c r="F160" s="29" t="s">
        <v>0</v>
      </c>
      <c r="G160" s="29" t="s">
        <v>1</v>
      </c>
      <c r="H160" s="38">
        <v>70000000</v>
      </c>
      <c r="I160" s="34">
        <v>40000</v>
      </c>
      <c r="J160" s="39" t="s">
        <v>38</v>
      </c>
      <c r="K160" s="40">
        <v>0.76</v>
      </c>
      <c r="L160" s="34"/>
      <c r="M160" s="35"/>
      <c r="N160" s="34"/>
      <c r="O160" s="35"/>
      <c r="P160" s="6"/>
    </row>
    <row r="161" spans="1:16" ht="15.75" customHeight="1" x14ac:dyDescent="0.3">
      <c r="A161" s="29" t="s">
        <v>62</v>
      </c>
      <c r="B161" s="29" t="s">
        <v>61</v>
      </c>
      <c r="C161" s="30" t="str">
        <f>+RIGHT(Table4[[#This Row],[City]],2)</f>
        <v>TN</v>
      </c>
      <c r="D161" s="29" t="s">
        <v>60</v>
      </c>
      <c r="E161" s="29">
        <v>2012</v>
      </c>
      <c r="F161" s="29" t="s">
        <v>247</v>
      </c>
      <c r="G161" s="29" t="s">
        <v>1</v>
      </c>
      <c r="H161" s="38">
        <v>12000000</v>
      </c>
      <c r="I161" s="34"/>
      <c r="J161" s="29"/>
      <c r="K161" s="40">
        <v>0.88</v>
      </c>
      <c r="L161" s="34"/>
      <c r="M161" s="35">
        <f>Table4[[#This Row],[NG Cons (Low) MMBTU]]/1000/1000/365</f>
        <v>0</v>
      </c>
      <c r="N161" s="34"/>
      <c r="O161" s="35">
        <f>Table4[[#This Row],[NG Cons (High) MMBTU]]/1000/1000/365</f>
        <v>0</v>
      </c>
      <c r="P161" s="6"/>
    </row>
    <row r="162" spans="1:16" ht="15.75" customHeight="1" x14ac:dyDescent="0.3">
      <c r="A162" s="29" t="s">
        <v>17</v>
      </c>
      <c r="B162" s="29" t="s">
        <v>16</v>
      </c>
      <c r="C162" s="30" t="str">
        <f>+RIGHT(Table4[[#This Row],[City]],2)</f>
        <v>TX</v>
      </c>
      <c r="D162" s="29" t="s">
        <v>4</v>
      </c>
      <c r="E162" s="37" t="s">
        <v>37</v>
      </c>
      <c r="F162" s="29" t="s">
        <v>116</v>
      </c>
      <c r="G162" s="29" t="s">
        <v>1</v>
      </c>
      <c r="H162" s="38">
        <v>14400000</v>
      </c>
      <c r="I162" s="34"/>
      <c r="J162" s="29"/>
      <c r="K162" s="40">
        <v>0.76</v>
      </c>
      <c r="L162" s="34"/>
      <c r="M162" s="35"/>
      <c r="N162" s="34"/>
      <c r="O162" s="35">
        <f>Table4[[#This Row],[NG Cons (High) MMBTU]]/1000/1000/365</f>
        <v>0</v>
      </c>
      <c r="P162" s="6"/>
    </row>
    <row r="163" spans="1:16" s="18" customFormat="1" ht="15.75" customHeight="1" x14ac:dyDescent="0.3">
      <c r="A163" s="29" t="s">
        <v>17</v>
      </c>
      <c r="B163" s="29" t="s">
        <v>224</v>
      </c>
      <c r="C163" s="30" t="str">
        <f>+RIGHT(Table4[[#This Row],[City]],2)</f>
        <v>NC</v>
      </c>
      <c r="D163" s="29" t="s">
        <v>60</v>
      </c>
      <c r="E163" s="29">
        <v>2012</v>
      </c>
      <c r="F163" s="29" t="s">
        <v>247</v>
      </c>
      <c r="G163" s="29" t="s">
        <v>1</v>
      </c>
      <c r="H163" s="38">
        <v>20000000</v>
      </c>
      <c r="I163" s="34">
        <v>20000</v>
      </c>
      <c r="J163" s="39" t="s">
        <v>38</v>
      </c>
      <c r="K163" s="40">
        <v>0.88</v>
      </c>
      <c r="L163" s="34"/>
      <c r="M163" s="35">
        <f>Table4[[#This Row],[NG Cons (Low) MMBTU]]/1000/1000/365</f>
        <v>0</v>
      </c>
      <c r="N163" s="34"/>
      <c r="O163" s="35">
        <f>Table4[[#This Row],[NG Cons (High) MMBTU]]/1000/1000/365</f>
        <v>0</v>
      </c>
    </row>
    <row r="164" spans="1:16" ht="15.75" customHeight="1" x14ac:dyDescent="0.3">
      <c r="A164" s="29" t="s">
        <v>169</v>
      </c>
      <c r="B164" s="29" t="s">
        <v>79</v>
      </c>
      <c r="C164" s="30" t="str">
        <f>+RIGHT(Table4[[#This Row],[City]],2)</f>
        <v>LA</v>
      </c>
      <c r="D164" s="29" t="s">
        <v>4</v>
      </c>
      <c r="E164" s="29">
        <v>2017</v>
      </c>
      <c r="F164" s="29" t="s">
        <v>0</v>
      </c>
      <c r="G164" s="29" t="s">
        <v>1</v>
      </c>
      <c r="H164" s="38">
        <v>2500000000</v>
      </c>
      <c r="I164" s="34">
        <v>1000000</v>
      </c>
      <c r="J164" s="39" t="s">
        <v>38</v>
      </c>
      <c r="K164" s="40">
        <v>0.76</v>
      </c>
      <c r="L164" s="34"/>
      <c r="M164" s="35"/>
      <c r="N164" s="34"/>
      <c r="O164" s="35"/>
      <c r="P164" s="6"/>
    </row>
    <row r="165" spans="1:16" ht="15.75" customHeight="1" x14ac:dyDescent="0.3">
      <c r="A165" s="29" t="s">
        <v>147</v>
      </c>
      <c r="B165" s="29" t="s">
        <v>134</v>
      </c>
      <c r="C165" s="30" t="str">
        <f>+RIGHT(Table4[[#This Row],[City]],2)</f>
        <v>TX</v>
      </c>
      <c r="D165" s="29" t="s">
        <v>133</v>
      </c>
      <c r="E165" s="29">
        <v>2013</v>
      </c>
      <c r="F165" s="29" t="s">
        <v>69</v>
      </c>
      <c r="G165" s="29" t="s">
        <v>5</v>
      </c>
      <c r="H165" s="38">
        <v>362500000</v>
      </c>
      <c r="I165" s="34">
        <v>100000</v>
      </c>
      <c r="J165" s="39" t="s">
        <v>76</v>
      </c>
      <c r="K165" s="40">
        <v>0.76</v>
      </c>
      <c r="L165" s="34"/>
      <c r="M165" s="35">
        <f>Table4[[#This Row],[NG Cons (Low) MMBTU]]/1000/1000/365</f>
        <v>0</v>
      </c>
      <c r="N165" s="34"/>
      <c r="O165" s="35">
        <f>Table4[[#This Row],[NG Cons (High) MMBTU]]/1000/1000/365</f>
        <v>0</v>
      </c>
      <c r="P165" s="6"/>
    </row>
    <row r="166" spans="1:16" ht="15.75" customHeight="1" x14ac:dyDescent="0.3">
      <c r="A166" s="29" t="s">
        <v>229</v>
      </c>
      <c r="B166" s="29" t="s">
        <v>134</v>
      </c>
      <c r="C166" s="30" t="str">
        <f>+RIGHT(Table4[[#This Row],[City]],2)</f>
        <v>TX</v>
      </c>
      <c r="D166" s="29" t="s">
        <v>133</v>
      </c>
      <c r="E166" s="29">
        <v>2013</v>
      </c>
      <c r="F166" s="29" t="s">
        <v>69</v>
      </c>
      <c r="G166" s="29" t="s">
        <v>5</v>
      </c>
      <c r="H166" s="38">
        <v>350000000</v>
      </c>
      <c r="I166" s="34">
        <v>100000</v>
      </c>
      <c r="J166" s="39" t="s">
        <v>76</v>
      </c>
      <c r="K166" s="40">
        <v>0.76</v>
      </c>
      <c r="L166" s="34"/>
      <c r="M166" s="35">
        <f>Table4[[#This Row],[NG Cons (Low) MMBTU]]/1000/1000/365</f>
        <v>0</v>
      </c>
      <c r="N166" s="34"/>
      <c r="O166" s="35">
        <f>Table4[[#This Row],[NG Cons (High) MMBTU]]/1000/1000/365</f>
        <v>0</v>
      </c>
      <c r="P166" s="6"/>
    </row>
    <row r="167" spans="1:16" ht="15.75" customHeight="1" x14ac:dyDescent="0.3">
      <c r="A167" s="29" t="s">
        <v>272</v>
      </c>
      <c r="B167" s="29"/>
      <c r="C167" s="30" t="s">
        <v>246</v>
      </c>
      <c r="D167" s="29" t="s">
        <v>4</v>
      </c>
      <c r="E167" s="37">
        <v>2018</v>
      </c>
      <c r="F167" s="29" t="s">
        <v>89</v>
      </c>
      <c r="G167" s="29" t="s">
        <v>1</v>
      </c>
      <c r="H167" s="38"/>
      <c r="I167" s="34"/>
      <c r="J167" s="39"/>
      <c r="K167" s="40">
        <v>0.76</v>
      </c>
      <c r="L167" s="34"/>
      <c r="M167" s="35"/>
      <c r="N167" s="34"/>
      <c r="O167" s="35"/>
      <c r="P167" s="6"/>
    </row>
    <row r="168" spans="1:16" ht="15.75" customHeight="1" x14ac:dyDescent="0.3">
      <c r="A168" s="29" t="s">
        <v>272</v>
      </c>
      <c r="B168" s="29" t="s">
        <v>128</v>
      </c>
      <c r="C168" s="30" t="str">
        <f>+RIGHT(Table4[[#This Row],[City]],2)</f>
        <v>TX</v>
      </c>
      <c r="D168" s="29" t="s">
        <v>4</v>
      </c>
      <c r="E168" s="39">
        <v>2019</v>
      </c>
      <c r="F168" s="29" t="s">
        <v>89</v>
      </c>
      <c r="G168" s="29" t="s">
        <v>1</v>
      </c>
      <c r="H168" s="38"/>
      <c r="I168" s="34"/>
      <c r="J168" s="39"/>
      <c r="K168" s="33"/>
      <c r="L168" s="34"/>
      <c r="M168" s="35">
        <f>Table4[[#This Row],[NG Cons (Low) MMBTU]]/1000/1000/365</f>
        <v>0</v>
      </c>
      <c r="N168" s="34"/>
      <c r="O168" s="35"/>
      <c r="P168" s="6"/>
    </row>
    <row r="169" spans="1:16" ht="15.75" customHeight="1" x14ac:dyDescent="0.3">
      <c r="A169" s="29" t="s">
        <v>307</v>
      </c>
      <c r="B169" s="29" t="s">
        <v>279</v>
      </c>
      <c r="C169" s="30" t="str">
        <f>+RIGHT(Table4[[#This Row],[City]],2)</f>
        <v>AR</v>
      </c>
      <c r="D169" s="29" t="s">
        <v>312</v>
      </c>
      <c r="E169" s="29">
        <v>2016</v>
      </c>
      <c r="F169" s="29" t="s">
        <v>69</v>
      </c>
      <c r="G169" s="29" t="s">
        <v>1</v>
      </c>
      <c r="H169" s="38">
        <v>300000000</v>
      </c>
      <c r="I169" s="34">
        <v>381590</v>
      </c>
      <c r="J169" s="39" t="s">
        <v>38</v>
      </c>
      <c r="K169" s="40">
        <v>0.76</v>
      </c>
      <c r="L169" s="34">
        <f>Table4[[#This Row],[Capacity]]*30.87*Table4[[#This Row],[Utilization]]</f>
        <v>8952559.3080000002</v>
      </c>
      <c r="M169" s="35">
        <f>Table4[[#This Row],[NG Cons (Low) MMBTU]]/1000/1000/365</f>
        <v>2.4527559747945203E-2</v>
      </c>
      <c r="N169" s="34">
        <f>Table4[[#This Row],[Capacity]]*36.58</f>
        <v>13958562.199999999</v>
      </c>
      <c r="O169" s="35">
        <f>Table4[[#This Row],[NG Cons (High) MMBTU]]/1000/1000/365</f>
        <v>3.8242636164383559E-2</v>
      </c>
      <c r="P169" s="6"/>
    </row>
    <row r="170" spans="1:16" ht="15.75" customHeight="1" x14ac:dyDescent="0.3">
      <c r="A170" s="29" t="s">
        <v>309</v>
      </c>
      <c r="B170" s="29" t="s">
        <v>310</v>
      </c>
      <c r="C170" s="30" t="str">
        <f>+RIGHT(Table4[[#This Row],[City]],2)</f>
        <v>OK</v>
      </c>
      <c r="D170" s="29" t="s">
        <v>312</v>
      </c>
      <c r="E170" s="39">
        <v>2015</v>
      </c>
      <c r="F170" s="29" t="s">
        <v>253</v>
      </c>
      <c r="G170" s="29" t="s">
        <v>5</v>
      </c>
      <c r="H170" s="38">
        <v>43000000</v>
      </c>
      <c r="I170" s="34">
        <v>54545</v>
      </c>
      <c r="J170" s="39" t="s">
        <v>38</v>
      </c>
      <c r="K170" s="40">
        <v>0.76</v>
      </c>
      <c r="L170" s="34">
        <f>Table4[[#This Row],[Capacity]]*30.87*Table4[[#This Row],[Utilization]]</f>
        <v>1279691.1540000001</v>
      </c>
      <c r="M170" s="35">
        <f>Table4[[#This Row],[NG Cons (Low) MMBTU]]/1000/1000/365</f>
        <v>3.5060031616438356E-3</v>
      </c>
      <c r="N170" s="34">
        <f>Table4[[#This Row],[Capacity]]*36.58</f>
        <v>1995256.0999999999</v>
      </c>
      <c r="O170" s="35">
        <f>Table4[[#This Row],[NG Cons (High) MMBTU]]/1000/1000/365</f>
        <v>5.4664550684931498E-3</v>
      </c>
      <c r="P170" s="6"/>
    </row>
    <row r="171" spans="1:16" ht="15.75" customHeight="1" x14ac:dyDescent="0.3">
      <c r="A171" s="29" t="s">
        <v>15</v>
      </c>
      <c r="B171" s="29" t="s">
        <v>225</v>
      </c>
      <c r="C171" s="30" t="str">
        <f>+RIGHT(Table4[[#This Row],[City]],2)</f>
        <v>TX</v>
      </c>
      <c r="D171" s="29" t="s">
        <v>4</v>
      </c>
      <c r="E171" s="37">
        <v>2014</v>
      </c>
      <c r="F171" s="29" t="s">
        <v>0</v>
      </c>
      <c r="G171" s="29" t="s">
        <v>1</v>
      </c>
      <c r="H171" s="38">
        <v>125000000</v>
      </c>
      <c r="I171" s="34"/>
      <c r="J171" s="39"/>
      <c r="K171" s="40">
        <v>0.76</v>
      </c>
      <c r="L171" s="34"/>
      <c r="M171" s="35"/>
      <c r="N171" s="34"/>
      <c r="O171" s="35"/>
      <c r="P171" s="6"/>
    </row>
    <row r="172" spans="1:16" ht="15.75" customHeight="1" x14ac:dyDescent="0.3">
      <c r="A172" s="29" t="s">
        <v>15</v>
      </c>
      <c r="B172" s="29" t="s">
        <v>14</v>
      </c>
      <c r="C172" s="30" t="str">
        <f>+RIGHT(Table4[[#This Row],[City]],2)</f>
        <v>KY</v>
      </c>
      <c r="D172" s="29" t="s">
        <v>4</v>
      </c>
      <c r="E172" s="37" t="s">
        <v>37</v>
      </c>
      <c r="F172" s="29" t="s">
        <v>116</v>
      </c>
      <c r="G172" s="29" t="s">
        <v>5</v>
      </c>
      <c r="H172" s="38">
        <v>108000000</v>
      </c>
      <c r="I172" s="34"/>
      <c r="J172" s="29"/>
      <c r="K172" s="40">
        <v>0.76</v>
      </c>
      <c r="L172" s="34"/>
      <c r="M172" s="35"/>
      <c r="N172" s="34"/>
      <c r="O172" s="35">
        <f>Table4[[#This Row],[NG Cons (High) MMBTU]]/1000/1000/365</f>
        <v>0</v>
      </c>
      <c r="P172" s="6"/>
    </row>
    <row r="173" spans="1:16" ht="15.75" customHeight="1" x14ac:dyDescent="0.3">
      <c r="A173" s="29" t="s">
        <v>15</v>
      </c>
      <c r="B173" s="29" t="s">
        <v>14</v>
      </c>
      <c r="C173" s="30" t="str">
        <f>+RIGHT(Table4[[#This Row],[City]],2)</f>
        <v>KY</v>
      </c>
      <c r="D173" s="29" t="s">
        <v>4</v>
      </c>
      <c r="E173" s="29">
        <v>2012</v>
      </c>
      <c r="F173" s="29" t="s">
        <v>247</v>
      </c>
      <c r="G173" s="29" t="s">
        <v>5</v>
      </c>
      <c r="H173" s="38">
        <v>40000000</v>
      </c>
      <c r="I173" s="34"/>
      <c r="J173" s="39"/>
      <c r="K173" s="40">
        <v>0.76</v>
      </c>
      <c r="L173" s="34"/>
      <c r="M173" s="35">
        <f>Table4[[#This Row],[NG Cons (Low) MMBTU]]/1000/1000/365</f>
        <v>0</v>
      </c>
      <c r="N173" s="34"/>
      <c r="O173" s="35">
        <f>Table4[[#This Row],[NG Cons (High) MMBTU]]/1000/1000/365</f>
        <v>0</v>
      </c>
      <c r="P173" s="6"/>
    </row>
    <row r="174" spans="1:16" ht="15.75" customHeight="1" x14ac:dyDescent="0.3">
      <c r="A174" s="29" t="s">
        <v>121</v>
      </c>
      <c r="B174" s="29" t="s">
        <v>183</v>
      </c>
      <c r="C174" s="30" t="str">
        <f>+RIGHT(Table4[[#This Row],[City]],2)</f>
        <v>TX</v>
      </c>
      <c r="D174" s="29" t="s">
        <v>315</v>
      </c>
      <c r="E174" s="29">
        <v>2014</v>
      </c>
      <c r="F174" s="29" t="s">
        <v>69</v>
      </c>
      <c r="G174" s="29" t="s">
        <v>5</v>
      </c>
      <c r="H174" s="38">
        <v>510000000</v>
      </c>
      <c r="I174" s="34">
        <v>362873.89600000001</v>
      </c>
      <c r="J174" s="39" t="s">
        <v>38</v>
      </c>
      <c r="K174" s="40">
        <v>0.76</v>
      </c>
      <c r="L174" s="34">
        <f>19.3*Table4[[#This Row],[Capacity]]*Table4[[#This Row],[Utilization]]</f>
        <v>5322634.3065280002</v>
      </c>
      <c r="M174" s="35">
        <f>Table4[[#This Row],[NG Cons (Low) MMBTU]]/1000/1000/365</f>
        <v>1.4582559743912329E-2</v>
      </c>
      <c r="N174" s="34">
        <f>Table4[[#This Row],[Capacity]]*30.87*Table4[[#This Row],[Utilization]]</f>
        <v>8513457.0488351993</v>
      </c>
      <c r="O174" s="35">
        <f>Table4[[#This Row],[NG Cons (High) MMBTU]]/1000/1000/365</f>
        <v>2.3324539859822465E-2</v>
      </c>
      <c r="P174" s="6"/>
    </row>
    <row r="175" spans="1:16" ht="15.75" customHeight="1" x14ac:dyDescent="0.3">
      <c r="A175" s="29" t="s">
        <v>121</v>
      </c>
      <c r="B175" s="29" t="s">
        <v>112</v>
      </c>
      <c r="C175" s="30" t="str">
        <f>+RIGHT(Table4[[#This Row],[City]],2)</f>
        <v>TX</v>
      </c>
      <c r="D175" s="29" t="s">
        <v>315</v>
      </c>
      <c r="E175" s="29">
        <v>2015</v>
      </c>
      <c r="F175" s="29" t="s">
        <v>69</v>
      </c>
      <c r="G175" s="29" t="s">
        <v>5</v>
      </c>
      <c r="H175" s="38">
        <v>200000000</v>
      </c>
      <c r="I175" s="34">
        <v>113398.0925</v>
      </c>
      <c r="J175" s="39" t="s">
        <v>38</v>
      </c>
      <c r="K175" s="40">
        <v>0.76</v>
      </c>
      <c r="L175" s="34">
        <f>19.3*Table4[[#This Row],[Capacity]]*Table4[[#This Row],[Utilization]]</f>
        <v>1663323.2207900002</v>
      </c>
      <c r="M175" s="35">
        <f>Table4[[#This Row],[NG Cons (Low) MMBTU]]/1000/1000/365</f>
        <v>4.557049919972603E-3</v>
      </c>
      <c r="N175" s="34">
        <f>Table4[[#This Row],[Capacity]]*30.87*Table4[[#This Row],[Utilization]]</f>
        <v>2660455.327761</v>
      </c>
      <c r="O175" s="35">
        <f>Table4[[#This Row],[NG Cons (High) MMBTU]]/1000/1000/365</f>
        <v>7.2889187061945205E-3</v>
      </c>
      <c r="P175" s="6"/>
    </row>
    <row r="176" spans="1:16" ht="15.75" customHeight="1" x14ac:dyDescent="0.3">
      <c r="A176" s="29" t="s">
        <v>121</v>
      </c>
      <c r="B176" s="29" t="s">
        <v>65</v>
      </c>
      <c r="C176" s="30" t="str">
        <f>+RIGHT(Table4[[#This Row],[City]],2)</f>
        <v>TX</v>
      </c>
      <c r="D176" s="29" t="s">
        <v>315</v>
      </c>
      <c r="E176" s="29">
        <v>2016</v>
      </c>
      <c r="F176" s="29" t="s">
        <v>69</v>
      </c>
      <c r="G176" s="29" t="s">
        <v>5</v>
      </c>
      <c r="H176" s="38">
        <v>600000000</v>
      </c>
      <c r="I176" s="34">
        <v>377993.64151500002</v>
      </c>
      <c r="J176" s="39" t="s">
        <v>38</v>
      </c>
      <c r="K176" s="40">
        <v>0.76</v>
      </c>
      <c r="L176" s="34">
        <f>19.3*Table4[[#This Row],[Capacity]]*Table4[[#This Row],[Utilization]]</f>
        <v>5544410.733742021</v>
      </c>
      <c r="M176" s="35">
        <f>Table4[[#This Row],[NG Cons (Low) MMBTU]]/1000/1000/365</f>
        <v>1.5190166393813756E-2</v>
      </c>
      <c r="N176" s="34">
        <f>Table4[[#This Row],[Capacity]]*30.87*Table4[[#This Row],[Utilization]]</f>
        <v>8868184.4223117176</v>
      </c>
      <c r="O176" s="35">
        <f>Table4[[#This Row],[NG Cons (High) MMBTU]]/1000/1000/365</f>
        <v>2.4296395677566349E-2</v>
      </c>
      <c r="P176" s="6"/>
    </row>
    <row r="177" spans="1:16" ht="15.75" customHeight="1" x14ac:dyDescent="0.3">
      <c r="A177" s="29" t="s">
        <v>121</v>
      </c>
      <c r="B177" s="29" t="s">
        <v>112</v>
      </c>
      <c r="C177" s="30" t="str">
        <f>+RIGHT(Table4[[#This Row],[City]],2)</f>
        <v>TX</v>
      </c>
      <c r="D177" s="29" t="s">
        <v>98</v>
      </c>
      <c r="E177" s="29">
        <v>2013</v>
      </c>
      <c r="F177" s="29" t="s">
        <v>69</v>
      </c>
      <c r="G177" s="29" t="s">
        <v>57</v>
      </c>
      <c r="H177" s="38">
        <v>180000000</v>
      </c>
      <c r="I177" s="34">
        <v>780000</v>
      </c>
      <c r="J177" s="39" t="s">
        <v>38</v>
      </c>
      <c r="K177" s="40">
        <v>0.76</v>
      </c>
      <c r="L177" s="34">
        <f>Table4[[#This Row],[Capacity]]*31.968*Table4[[#This Row],[Utilization]]</f>
        <v>18950630.399999999</v>
      </c>
      <c r="M177" s="35">
        <f>Table4[[#This Row],[NG Cons (Low) MMBTU]]/1000/1000/365</f>
        <v>5.1919535342465746E-2</v>
      </c>
      <c r="N177" s="34">
        <f>Table4[[#This Row],[Capacity]]*32.634*Table4[[#This Row],[Utilization]]</f>
        <v>19345435.199999999</v>
      </c>
      <c r="O177" s="35">
        <f>Table4[[#This Row],[NG Cons (High) MMBTU]]/1000/1000/365</f>
        <v>5.3001192328767127E-2</v>
      </c>
      <c r="P177" s="6"/>
    </row>
    <row r="178" spans="1:16" ht="15.75" customHeight="1" x14ac:dyDescent="0.3">
      <c r="A178" s="29" t="s">
        <v>121</v>
      </c>
      <c r="B178" s="39" t="s">
        <v>65</v>
      </c>
      <c r="C178" s="30" t="str">
        <f>+RIGHT(Table4[[#This Row],[City]],2)</f>
        <v>TX</v>
      </c>
      <c r="D178" s="29" t="s">
        <v>133</v>
      </c>
      <c r="E178" s="39">
        <v>2013</v>
      </c>
      <c r="F178" s="29" t="s">
        <v>69</v>
      </c>
      <c r="G178" s="29" t="s">
        <v>5</v>
      </c>
      <c r="H178" s="58"/>
      <c r="I178" s="59">
        <v>63000</v>
      </c>
      <c r="J178" s="39" t="s">
        <v>76</v>
      </c>
      <c r="K178" s="40">
        <v>0.76</v>
      </c>
      <c r="L178" s="59"/>
      <c r="M178" s="35">
        <f>Table4[[#This Row],[NG Cons (Low) MMBTU]]/1000/1000/365</f>
        <v>0</v>
      </c>
      <c r="N178" s="59"/>
      <c r="O178" s="35">
        <f>Table4[[#This Row],[NG Cons (High) MMBTU]]/1000/1000/365</f>
        <v>0</v>
      </c>
      <c r="P178" s="6"/>
    </row>
    <row r="179" spans="1:16" ht="15.75" customHeight="1" x14ac:dyDescent="0.3">
      <c r="A179" s="29" t="s">
        <v>121</v>
      </c>
      <c r="B179" s="29" t="s">
        <v>273</v>
      </c>
      <c r="C179" s="30" t="str">
        <f>+RIGHT(Table4[[#This Row],[City]],2)</f>
        <v>TX</v>
      </c>
      <c r="D179" s="29" t="s">
        <v>120</v>
      </c>
      <c r="E179" s="29">
        <v>2014</v>
      </c>
      <c r="F179" s="29" t="s">
        <v>69</v>
      </c>
      <c r="G179" s="29" t="s">
        <v>5</v>
      </c>
      <c r="H179" s="38">
        <v>20000000</v>
      </c>
      <c r="I179" s="34">
        <v>100000</v>
      </c>
      <c r="J179" s="39" t="s">
        <v>38</v>
      </c>
      <c r="K179" s="40">
        <v>0.76</v>
      </c>
      <c r="L179" s="34">
        <f>Table4[[#This Row],[Capacity]]*4.8*Table4[[#This Row],[Utilization]]</f>
        <v>364800</v>
      </c>
      <c r="M179" s="35">
        <f>Table4[[#This Row],[NG Cons (Low) MMBTU]]/1000/1000/365</f>
        <v>9.9945205479452055E-4</v>
      </c>
      <c r="N179" s="34">
        <f>Table4[[#This Row],[NG Cons (Low) MMBTU]]</f>
        <v>364800</v>
      </c>
      <c r="O179" s="35">
        <f>Table4[[#This Row],[NG Cons (High) MMBTU]]/1000/1000/365</f>
        <v>9.9945205479452055E-4</v>
      </c>
      <c r="P179" s="6"/>
    </row>
    <row r="180" spans="1:16" ht="15.75" customHeight="1" x14ac:dyDescent="0.3">
      <c r="A180" s="29" t="s">
        <v>121</v>
      </c>
      <c r="B180" s="29" t="s">
        <v>183</v>
      </c>
      <c r="C180" s="30" t="str">
        <f>+RIGHT(Table4[[#This Row],[City]],2)</f>
        <v>TX</v>
      </c>
      <c r="D180" s="29" t="s">
        <v>120</v>
      </c>
      <c r="E180" s="39">
        <v>2019</v>
      </c>
      <c r="F180" s="29" t="s">
        <v>89</v>
      </c>
      <c r="G180" s="29" t="s">
        <v>1</v>
      </c>
      <c r="H180" s="38">
        <f>+I180*444</f>
        <v>222000000</v>
      </c>
      <c r="I180" s="34">
        <v>500000</v>
      </c>
      <c r="J180" s="39" t="s">
        <v>38</v>
      </c>
      <c r="K180" s="40">
        <v>0.76</v>
      </c>
      <c r="L180" s="34">
        <f>Table4[[#This Row],[Capacity]]*4.8*Table4[[#This Row],[Utilization]]</f>
        <v>1824000</v>
      </c>
      <c r="M180" s="35">
        <f>Table4[[#This Row],[NG Cons (Low) MMBTU]]/1000/1000/365</f>
        <v>4.9972602739726032E-3</v>
      </c>
      <c r="N180" s="34">
        <f>Table4[[#This Row],[NG Cons (Low) MMBTU]]</f>
        <v>1824000</v>
      </c>
      <c r="O180" s="35">
        <f>Table4[[#This Row],[NG Cons (High) MMBTU]]/1000/1000/365</f>
        <v>4.9972602739726032E-3</v>
      </c>
      <c r="P180" s="6"/>
    </row>
    <row r="181" spans="1:16" ht="15.75" customHeight="1" x14ac:dyDescent="0.3">
      <c r="A181" s="29" t="s">
        <v>121</v>
      </c>
      <c r="B181" s="29"/>
      <c r="C181" s="30" t="s">
        <v>245</v>
      </c>
      <c r="D181" s="29" t="s">
        <v>117</v>
      </c>
      <c r="E181" s="29">
        <v>2014</v>
      </c>
      <c r="F181" s="29" t="s">
        <v>227</v>
      </c>
      <c r="G181" s="29" t="s">
        <v>5</v>
      </c>
      <c r="H181" s="38">
        <v>125000000</v>
      </c>
      <c r="I181" s="34">
        <v>227000</v>
      </c>
      <c r="J181" s="39" t="s">
        <v>38</v>
      </c>
      <c r="K181" s="40">
        <v>0.76</v>
      </c>
      <c r="L181" s="34">
        <f>Table4[[#This Row],[Capacity]]*6.615*Table4[[#This Row],[Utilization]]</f>
        <v>1141219.8</v>
      </c>
      <c r="M181" s="35">
        <f>Table4[[#This Row],[NG Cons (Low) MMBTU]]/1000/1000/365</f>
        <v>3.126629589041096E-3</v>
      </c>
      <c r="N181" s="34">
        <f>Table4[[#This Row],[Capacity]]*13.23*Table4[[#This Row],[Utilization]]</f>
        <v>2282439.6</v>
      </c>
      <c r="O181" s="35">
        <f>Table4[[#This Row],[NG Cons (High) MMBTU]]/1000/1000/365</f>
        <v>6.2532591780821919E-3</v>
      </c>
      <c r="P181" s="7"/>
    </row>
    <row r="182" spans="1:16" ht="15.75" customHeight="1" x14ac:dyDescent="0.3">
      <c r="A182" s="29" t="s">
        <v>199</v>
      </c>
      <c r="B182" s="29" t="s">
        <v>65</v>
      </c>
      <c r="C182" s="30" t="str">
        <f>+RIGHT(Table4[[#This Row],[City]],2)</f>
        <v>TX</v>
      </c>
      <c r="D182" s="29" t="s">
        <v>60</v>
      </c>
      <c r="E182" s="29">
        <v>2016</v>
      </c>
      <c r="F182" s="29" t="s">
        <v>84</v>
      </c>
      <c r="G182" s="29" t="s">
        <v>1</v>
      </c>
      <c r="H182" s="38">
        <v>450000000</v>
      </c>
      <c r="I182" s="34">
        <v>1000000</v>
      </c>
      <c r="J182" s="39" t="s">
        <v>38</v>
      </c>
      <c r="K182" s="40">
        <v>0.88</v>
      </c>
      <c r="L182" s="34"/>
      <c r="M182" s="35"/>
      <c r="N182" s="34"/>
      <c r="O182" s="35"/>
      <c r="P182" s="6"/>
    </row>
    <row r="183" spans="1:16" ht="15.75" customHeight="1" x14ac:dyDescent="0.3">
      <c r="A183" s="29" t="s">
        <v>199</v>
      </c>
      <c r="B183" s="29" t="s">
        <v>65</v>
      </c>
      <c r="C183" s="30" t="str">
        <f>+RIGHT(Table4[[#This Row],[City]],2)</f>
        <v>TX</v>
      </c>
      <c r="D183" s="29" t="s">
        <v>60</v>
      </c>
      <c r="E183" s="29">
        <v>2016</v>
      </c>
      <c r="F183" s="29" t="s">
        <v>84</v>
      </c>
      <c r="G183" s="29" t="s">
        <v>1</v>
      </c>
      <c r="H183" s="38">
        <v>450000000</v>
      </c>
      <c r="I183" s="34">
        <v>1200000</v>
      </c>
      <c r="J183" s="39" t="s">
        <v>38</v>
      </c>
      <c r="K183" s="40">
        <v>0.88</v>
      </c>
      <c r="L183" s="34"/>
      <c r="M183" s="35"/>
      <c r="N183" s="34"/>
      <c r="O183" s="35"/>
      <c r="P183" s="6"/>
    </row>
    <row r="184" spans="1:16" ht="15.75" customHeight="1" x14ac:dyDescent="0.3">
      <c r="A184" s="29" t="s">
        <v>299</v>
      </c>
      <c r="B184" s="29" t="s">
        <v>300</v>
      </c>
      <c r="C184" s="30" t="str">
        <f>+RIGHT(Table4[[#This Row],[City]],2)</f>
        <v>ID</v>
      </c>
      <c r="D184" s="29" t="s">
        <v>312</v>
      </c>
      <c r="E184" s="39">
        <v>2017</v>
      </c>
      <c r="F184" s="29" t="s">
        <v>262</v>
      </c>
      <c r="G184" s="29" t="s">
        <v>1</v>
      </c>
      <c r="H184" s="38">
        <v>2000000000</v>
      </c>
      <c r="I184" s="34">
        <v>829000</v>
      </c>
      <c r="J184" s="39" t="s">
        <v>38</v>
      </c>
      <c r="K184" s="40">
        <v>0.76</v>
      </c>
      <c r="L184" s="34">
        <f>Table4[[#This Row],[Capacity]]*30.87*Table4[[#This Row],[Utilization]]</f>
        <v>19449334.800000001</v>
      </c>
      <c r="M184" s="35">
        <f>Table4[[#This Row],[NG Cons (Low) MMBTU]]/1000/1000/365</f>
        <v>5.3285848767123285E-2</v>
      </c>
      <c r="N184" s="34">
        <f>Table4[[#This Row],[Capacity]]*36.58</f>
        <v>30324820</v>
      </c>
      <c r="O184" s="35">
        <f>Table4[[#This Row],[NG Cons (High) MMBTU]]/1000/1000/365</f>
        <v>8.308169863013698E-2</v>
      </c>
      <c r="P184" s="6"/>
    </row>
    <row r="185" spans="1:16" ht="15.75" customHeight="1" x14ac:dyDescent="0.3">
      <c r="A185" s="29" t="s">
        <v>77</v>
      </c>
      <c r="B185" s="29" t="s">
        <v>75</v>
      </c>
      <c r="C185" s="30" t="str">
        <f>+RIGHT(Table4[[#This Row],[City]],2)</f>
        <v>PA</v>
      </c>
      <c r="D185" s="29" t="s">
        <v>172</v>
      </c>
      <c r="E185" s="37">
        <v>2015</v>
      </c>
      <c r="F185" s="29" t="s">
        <v>227</v>
      </c>
      <c r="G185" s="29" t="s">
        <v>1</v>
      </c>
      <c r="H185" s="38">
        <v>200000000</v>
      </c>
      <c r="I185" s="34">
        <v>2000</v>
      </c>
      <c r="J185" s="39" t="s">
        <v>76</v>
      </c>
      <c r="K185" s="40">
        <v>0.76</v>
      </c>
      <c r="L185" s="34">
        <f>Table4[[#This Row],[Capacity]]/10000*101/1000*365*1024*1000*Table4[[#This Row],[Utilization]]</f>
        <v>5737963.5200000005</v>
      </c>
      <c r="M185" s="35">
        <f>Table4[[#This Row],[NG Cons (Low) MMBTU]]/1000/1000/365</f>
        <v>1.5720448000000001E-2</v>
      </c>
      <c r="N185" s="34">
        <f>Table4[[#This Row],[Capacity]]*365*10*1024/875*Table4[[#This Row],[Utilization]]</f>
        <v>6492745.1428571427</v>
      </c>
      <c r="O185" s="35">
        <f>Table4[[#This Row],[NG Cons (High) MMBTU]]/1000/1000/365</f>
        <v>1.7788342857142859E-2</v>
      </c>
      <c r="P185" s="6"/>
    </row>
    <row r="186" spans="1:16" ht="15.75" customHeight="1" x14ac:dyDescent="0.3">
      <c r="A186" s="29" t="s">
        <v>411</v>
      </c>
      <c r="B186" s="29" t="s">
        <v>141</v>
      </c>
      <c r="C186" s="30" t="str">
        <f>+RIGHT(Table4[[#This Row],[City]],2)</f>
        <v>WV</v>
      </c>
      <c r="D186" s="29" t="s">
        <v>133</v>
      </c>
      <c r="E186" s="29">
        <v>2013</v>
      </c>
      <c r="F186" s="29" t="s">
        <v>69</v>
      </c>
      <c r="G186" s="29" t="s">
        <v>1</v>
      </c>
      <c r="H186" s="38">
        <v>190000000</v>
      </c>
      <c r="I186" s="34">
        <v>36400</v>
      </c>
      <c r="J186" s="39" t="s">
        <v>76</v>
      </c>
      <c r="K186" s="40">
        <v>0.76</v>
      </c>
      <c r="L186" s="34"/>
      <c r="M186" s="35">
        <f>Table4[[#This Row],[NG Cons (Low) MMBTU]]/1000/1000/365</f>
        <v>0</v>
      </c>
      <c r="N186" s="34"/>
      <c r="O186" s="35">
        <f>Table4[[#This Row],[NG Cons (High) MMBTU]]/1000/1000/365</f>
        <v>0</v>
      </c>
      <c r="P186" s="6"/>
    </row>
    <row r="187" spans="1:16" ht="15.75" customHeight="1" x14ac:dyDescent="0.3">
      <c r="A187" s="29" t="s">
        <v>411</v>
      </c>
      <c r="B187" s="29" t="s">
        <v>141</v>
      </c>
      <c r="C187" s="30" t="str">
        <f>+RIGHT(Table4[[#This Row],[City]],2)</f>
        <v>WV</v>
      </c>
      <c r="D187" s="29" t="s">
        <v>133</v>
      </c>
      <c r="E187" s="29">
        <v>2014</v>
      </c>
      <c r="F187" s="29" t="s">
        <v>69</v>
      </c>
      <c r="G187" s="29" t="s">
        <v>1</v>
      </c>
      <c r="H187" s="38">
        <v>190000000</v>
      </c>
      <c r="I187" s="34">
        <v>38000</v>
      </c>
      <c r="J187" s="39" t="s">
        <v>76</v>
      </c>
      <c r="K187" s="40">
        <v>0.76</v>
      </c>
      <c r="L187" s="34"/>
      <c r="M187" s="35"/>
      <c r="N187" s="34"/>
      <c r="O187" s="35"/>
      <c r="P187" s="6"/>
    </row>
    <row r="188" spans="1:16" ht="15.75" customHeight="1" x14ac:dyDescent="0.3">
      <c r="A188" s="29" t="s">
        <v>411</v>
      </c>
      <c r="B188" s="29" t="s">
        <v>412</v>
      </c>
      <c r="C188" s="30" t="str">
        <f>+RIGHT(Table4[[#This Row],[City]],2)</f>
        <v>PA</v>
      </c>
      <c r="D188" s="29" t="s">
        <v>133</v>
      </c>
      <c r="E188" s="29">
        <v>2014</v>
      </c>
      <c r="F188" s="29" t="s">
        <v>69</v>
      </c>
      <c r="G188" s="29" t="s">
        <v>1</v>
      </c>
      <c r="H188" s="38">
        <v>190000000</v>
      </c>
      <c r="I188" s="34">
        <v>100000</v>
      </c>
      <c r="J188" s="39" t="s">
        <v>76</v>
      </c>
      <c r="K188" s="40">
        <v>0.76</v>
      </c>
      <c r="L188" s="34"/>
      <c r="M188" s="35"/>
      <c r="N188" s="34"/>
      <c r="O188" s="35"/>
      <c r="P188" s="6"/>
    </row>
    <row r="189" spans="1:16" ht="15.75" customHeight="1" x14ac:dyDescent="0.3">
      <c r="A189" s="29" t="s">
        <v>281</v>
      </c>
      <c r="B189" s="29" t="s">
        <v>135</v>
      </c>
      <c r="C189" s="30" t="str">
        <f>+RIGHT(Table4[[#This Row],[City]],2)</f>
        <v>OH</v>
      </c>
      <c r="D189" s="29" t="s">
        <v>133</v>
      </c>
      <c r="E189" s="29">
        <v>2014</v>
      </c>
      <c r="F189" s="29" t="s">
        <v>69</v>
      </c>
      <c r="G189" s="29" t="s">
        <v>5</v>
      </c>
      <c r="H189" s="38" t="s">
        <v>105</v>
      </c>
      <c r="I189" s="34">
        <v>36000</v>
      </c>
      <c r="J189" s="39" t="s">
        <v>76</v>
      </c>
      <c r="K189" s="40">
        <v>0.76</v>
      </c>
      <c r="L189" s="34"/>
      <c r="M189" s="35"/>
      <c r="N189" s="34"/>
      <c r="O189" s="35"/>
      <c r="P189" s="6"/>
    </row>
    <row r="190" spans="1:16" ht="15.75" customHeight="1" x14ac:dyDescent="0.3">
      <c r="A190" s="29" t="s">
        <v>281</v>
      </c>
      <c r="B190" s="29" t="s">
        <v>135</v>
      </c>
      <c r="C190" s="30" t="str">
        <f>+RIGHT(Table4[[#This Row],[City]],2)</f>
        <v>OH</v>
      </c>
      <c r="D190" s="29" t="s">
        <v>133</v>
      </c>
      <c r="E190" s="29">
        <v>2014</v>
      </c>
      <c r="F190" s="29" t="s">
        <v>69</v>
      </c>
      <c r="G190" s="29" t="s">
        <v>1</v>
      </c>
      <c r="H190" s="38">
        <v>180000000</v>
      </c>
      <c r="I190" s="34">
        <v>76000</v>
      </c>
      <c r="J190" s="39" t="s">
        <v>76</v>
      </c>
      <c r="K190" s="40">
        <v>0.76</v>
      </c>
      <c r="L190" s="34"/>
      <c r="M190" s="35"/>
      <c r="N190" s="34"/>
      <c r="O190" s="35"/>
      <c r="P190" s="6"/>
    </row>
    <row r="191" spans="1:16" ht="15.75" customHeight="1" x14ac:dyDescent="0.3">
      <c r="A191" s="29" t="s">
        <v>281</v>
      </c>
      <c r="B191" s="29" t="s">
        <v>135</v>
      </c>
      <c r="C191" s="30" t="str">
        <f>+RIGHT(Table4[[#This Row],[City]],2)</f>
        <v>OH</v>
      </c>
      <c r="D191" s="29" t="s">
        <v>133</v>
      </c>
      <c r="E191" s="29">
        <v>2013</v>
      </c>
      <c r="F191" s="29" t="s">
        <v>69</v>
      </c>
      <c r="G191" s="29" t="s">
        <v>1</v>
      </c>
      <c r="H191" s="38">
        <v>300000000</v>
      </c>
      <c r="I191" s="34">
        <v>60000</v>
      </c>
      <c r="J191" s="39" t="s">
        <v>76</v>
      </c>
      <c r="K191" s="40">
        <v>0.76</v>
      </c>
      <c r="L191" s="34"/>
      <c r="M191" s="35">
        <f>Table4[[#This Row],[NG Cons (Low) MMBTU]]/1000/1000/365</f>
        <v>0</v>
      </c>
      <c r="N191" s="34"/>
      <c r="O191" s="35">
        <f>Table4[[#This Row],[NG Cons (High) MMBTU]]/1000/1000/365</f>
        <v>0</v>
      </c>
      <c r="P191" s="6"/>
    </row>
    <row r="192" spans="1:16" ht="15.75" customHeight="1" x14ac:dyDescent="0.3">
      <c r="A192" s="29" t="s">
        <v>333</v>
      </c>
      <c r="B192" s="29" t="s">
        <v>73</v>
      </c>
      <c r="C192" s="30" t="str">
        <f>+RIGHT(Table4[[#This Row],[City]],2)</f>
        <v>TX</v>
      </c>
      <c r="D192" s="29" t="s">
        <v>4</v>
      </c>
      <c r="E192" s="39">
        <v>2019</v>
      </c>
      <c r="F192" s="29" t="s">
        <v>84</v>
      </c>
      <c r="G192" s="29" t="s">
        <v>1</v>
      </c>
      <c r="H192" s="38">
        <v>1000000000</v>
      </c>
      <c r="I192" s="34">
        <v>750000</v>
      </c>
      <c r="J192" s="39" t="s">
        <v>38</v>
      </c>
      <c r="K192" s="33">
        <v>0.76</v>
      </c>
      <c r="L192" s="34"/>
      <c r="M192" s="35">
        <f>Table4[[#This Row],[NG Cons (Low) MMBTU]]/1000/1000/365</f>
        <v>0</v>
      </c>
      <c r="N192" s="34"/>
      <c r="O192" s="35"/>
      <c r="P192" s="6"/>
    </row>
    <row r="193" spans="1:16" ht="15.75" customHeight="1" x14ac:dyDescent="0.3">
      <c r="A193" s="29" t="s">
        <v>52</v>
      </c>
      <c r="B193" s="29" t="s">
        <v>51</v>
      </c>
      <c r="C193" s="30" t="str">
        <f>+RIGHT(Table4[[#This Row],[City]],2)</f>
        <v>OH</v>
      </c>
      <c r="D193" s="29" t="s">
        <v>40</v>
      </c>
      <c r="E193" s="29">
        <v>2012</v>
      </c>
      <c r="F193" s="29" t="s">
        <v>247</v>
      </c>
      <c r="G193" s="29" t="s">
        <v>5</v>
      </c>
      <c r="H193" s="38">
        <v>4000000</v>
      </c>
      <c r="I193" s="34">
        <v>4000</v>
      </c>
      <c r="J193" s="39" t="s">
        <v>38</v>
      </c>
      <c r="K193" s="40">
        <v>0.76</v>
      </c>
      <c r="L193" s="34">
        <f>Table4[[#This Row],[Capacity]]*2</f>
        <v>8000</v>
      </c>
      <c r="M193" s="35">
        <f>Table4[[#This Row],[NG Cons (Low) MMBTU]]/1000/1000/365</f>
        <v>2.1917808219178083E-5</v>
      </c>
      <c r="N193" s="34">
        <f>Table4[[#This Row],[NG Cons (Low) MMBTU]]</f>
        <v>8000</v>
      </c>
      <c r="O193" s="35">
        <f>Table4[[#This Row],[NG Cons (High) MMBTU]]/1000/1000/365</f>
        <v>2.1917808219178083E-5</v>
      </c>
      <c r="P193" s="6"/>
    </row>
    <row r="194" spans="1:16" ht="15.75" customHeight="1" x14ac:dyDescent="0.3">
      <c r="A194" s="29" t="s">
        <v>100</v>
      </c>
      <c r="B194" s="29" t="s">
        <v>2</v>
      </c>
      <c r="C194" s="30" t="str">
        <f>+RIGHT(Table4[[#This Row],[City]],2)</f>
        <v>LA</v>
      </c>
      <c r="D194" s="29" t="s">
        <v>98</v>
      </c>
      <c r="E194" s="29">
        <v>2014</v>
      </c>
      <c r="F194" s="29" t="s">
        <v>69</v>
      </c>
      <c r="G194" s="29" t="s">
        <v>99</v>
      </c>
      <c r="H194" s="38">
        <v>550000000</v>
      </c>
      <c r="I194" s="34">
        <v>1000000</v>
      </c>
      <c r="J194" s="39" t="s">
        <v>38</v>
      </c>
      <c r="K194" s="40">
        <v>0.76</v>
      </c>
      <c r="L194" s="34">
        <f>Table4[[#This Row],[Capacity]]*31.968*Table4[[#This Row],[Utilization]]</f>
        <v>24295680</v>
      </c>
      <c r="M194" s="35">
        <f>Table4[[#This Row],[NG Cons (Low) MMBTU]]/1000/1000/365</f>
        <v>6.6563506849315071E-2</v>
      </c>
      <c r="N194" s="34">
        <f>Table4[[#This Row],[Capacity]]*32.634*Table4[[#This Row],[Utilization]]</f>
        <v>24801840</v>
      </c>
      <c r="O194" s="35">
        <f>Table4[[#This Row],[NG Cons (High) MMBTU]]/1000/1000/365</f>
        <v>6.795024657534246E-2</v>
      </c>
      <c r="P194" s="6"/>
    </row>
    <row r="195" spans="1:16" ht="15.75" customHeight="1" x14ac:dyDescent="0.3">
      <c r="A195" s="29" t="s">
        <v>100</v>
      </c>
      <c r="B195" s="29" t="s">
        <v>2</v>
      </c>
      <c r="C195" s="30" t="str">
        <f>+RIGHT(Table4[[#This Row],[City]],2)</f>
        <v>LA</v>
      </c>
      <c r="D195" s="29" t="s">
        <v>98</v>
      </c>
      <c r="E195" s="29">
        <v>2016</v>
      </c>
      <c r="F195" s="29" t="s">
        <v>69</v>
      </c>
      <c r="G195" s="29" t="s">
        <v>99</v>
      </c>
      <c r="H195" s="38">
        <v>1400000000</v>
      </c>
      <c r="I195" s="34">
        <v>1000000</v>
      </c>
      <c r="J195" s="39" t="s">
        <v>38</v>
      </c>
      <c r="K195" s="40">
        <v>0.76</v>
      </c>
      <c r="L195" s="34">
        <f>Table4[[#This Row],[Capacity]]*31.968*Table4[[#This Row],[Utilization]]</f>
        <v>24295680</v>
      </c>
      <c r="M195" s="35">
        <f>Table4[[#This Row],[NG Cons (Low) MMBTU]]/1000/1000/365</f>
        <v>6.6563506849315071E-2</v>
      </c>
      <c r="N195" s="34">
        <f>Table4[[#This Row],[Capacity]]*32.634*Table4[[#This Row],[Utilization]]</f>
        <v>24801840</v>
      </c>
      <c r="O195" s="35">
        <f>Table4[[#This Row],[NG Cons (High) MMBTU]]/1000/1000/365</f>
        <v>6.795024657534246E-2</v>
      </c>
      <c r="P195" s="6"/>
    </row>
    <row r="196" spans="1:16" ht="15.75" customHeight="1" x14ac:dyDescent="0.3">
      <c r="A196" s="29" t="s">
        <v>298</v>
      </c>
      <c r="B196" s="29" t="s">
        <v>126</v>
      </c>
      <c r="C196" s="30" t="str">
        <f>+RIGHT(Table4[[#This Row],[City]],2)</f>
        <v>TX</v>
      </c>
      <c r="D196" s="29" t="s">
        <v>315</v>
      </c>
      <c r="E196" s="29">
        <v>2017</v>
      </c>
      <c r="F196" s="29" t="s">
        <v>0</v>
      </c>
      <c r="G196" s="29" t="s">
        <v>1</v>
      </c>
      <c r="H196" s="38">
        <v>1000000000</v>
      </c>
      <c r="I196" s="34">
        <v>544000</v>
      </c>
      <c r="J196" s="39" t="s">
        <v>38</v>
      </c>
      <c r="K196" s="40">
        <v>0.76</v>
      </c>
      <c r="L196" s="34">
        <f>19.3*Table4[[#This Row],[Capacity]]*Table4[[#This Row],[Utilization]]</f>
        <v>7979392</v>
      </c>
      <c r="M196" s="35">
        <f>Table4[[#This Row],[NG Cons (Low) MMBTU]]/1000/1000/365</f>
        <v>2.186134794520548E-2</v>
      </c>
      <c r="N196" s="34">
        <f>Table4[[#This Row],[Capacity]]*30.87*Table4[[#This Row],[Utilization]]</f>
        <v>12762892.800000001</v>
      </c>
      <c r="O196" s="35">
        <f>Table4[[#This Row],[NG Cons (High) MMBTU]]/1000/1000/365</f>
        <v>3.4966829589041099E-2</v>
      </c>
      <c r="P196" s="6"/>
    </row>
    <row r="197" spans="1:16" ht="15.75" customHeight="1" x14ac:dyDescent="0.3">
      <c r="A197" s="29" t="s">
        <v>28</v>
      </c>
      <c r="B197" s="29" t="s">
        <v>27</v>
      </c>
      <c r="C197" s="30" t="str">
        <f>+RIGHT(Table4[[#This Row],[City]],2)</f>
        <v>SC</v>
      </c>
      <c r="D197" s="29" t="s">
        <v>168</v>
      </c>
      <c r="E197" s="29">
        <v>2015</v>
      </c>
      <c r="F197" s="29" t="s">
        <v>0</v>
      </c>
      <c r="G197" s="29" t="s">
        <v>1</v>
      </c>
      <c r="H197" s="38">
        <v>750000000</v>
      </c>
      <c r="I197" s="34"/>
      <c r="J197" s="29"/>
      <c r="K197" s="40"/>
      <c r="L197" s="34"/>
      <c r="M197" s="35"/>
      <c r="N197" s="34"/>
      <c r="O197" s="35"/>
      <c r="P197" s="6"/>
    </row>
    <row r="198" spans="1:16" ht="15.75" customHeight="1" x14ac:dyDescent="0.3">
      <c r="A198" s="29" t="s">
        <v>226</v>
      </c>
      <c r="B198" s="29" t="s">
        <v>254</v>
      </c>
      <c r="C198" s="30" t="str">
        <f>+RIGHT(Table4[[#This Row],[City]],2)</f>
        <v>IN</v>
      </c>
      <c r="D198" s="29" t="s">
        <v>312</v>
      </c>
      <c r="E198" s="37">
        <v>2020</v>
      </c>
      <c r="F198" s="29" t="s">
        <v>110</v>
      </c>
      <c r="G198" s="29" t="s">
        <v>1</v>
      </c>
      <c r="H198" s="38">
        <v>2700000000</v>
      </c>
      <c r="I198" s="34">
        <v>730000</v>
      </c>
      <c r="J198" s="39" t="s">
        <v>38</v>
      </c>
      <c r="K198" s="40">
        <v>0.76</v>
      </c>
      <c r="L198" s="34">
        <f>Table4[[#This Row],[Capacity]]*30.87*Table4[[#This Row],[Utilization]]</f>
        <v>17126676</v>
      </c>
      <c r="M198" s="35">
        <f>Table4[[#This Row],[NG Cons (Low) MMBTU]]/1000/1000/365</f>
        <v>4.6922399999999996E-2</v>
      </c>
      <c r="N198" s="34">
        <f>Table4[[#This Row],[Capacity]]*36.58</f>
        <v>26703400</v>
      </c>
      <c r="O198" s="35">
        <f>Table4[[#This Row],[NG Cons (High) MMBTU]]/1000/1000/365</f>
        <v>7.3160000000000003E-2</v>
      </c>
      <c r="P198" s="6"/>
    </row>
    <row r="199" spans="1:16" ht="15.75" customHeight="1" x14ac:dyDescent="0.3">
      <c r="A199" s="29" t="s">
        <v>285</v>
      </c>
      <c r="B199" s="29" t="s">
        <v>73</v>
      </c>
      <c r="C199" s="30" t="str">
        <f>+RIGHT(Table4[[#This Row],[City]],2)</f>
        <v>TX</v>
      </c>
      <c r="D199" s="29" t="s">
        <v>4</v>
      </c>
      <c r="E199" s="37" t="s">
        <v>37</v>
      </c>
      <c r="F199" s="29" t="s">
        <v>84</v>
      </c>
      <c r="G199" s="29" t="s">
        <v>1</v>
      </c>
      <c r="H199" s="38">
        <v>590000000</v>
      </c>
      <c r="I199" s="34"/>
      <c r="J199" s="39"/>
      <c r="K199" s="40">
        <v>0.76</v>
      </c>
      <c r="L199" s="34"/>
      <c r="M199" s="35"/>
      <c r="N199" s="34"/>
      <c r="O199" s="35">
        <f>Table4[[#This Row],[NG Cons (High) MMBTU]]/1000/1000/365</f>
        <v>0</v>
      </c>
      <c r="P199" s="6"/>
    </row>
    <row r="200" spans="1:16" ht="15.75" customHeight="1" x14ac:dyDescent="0.3">
      <c r="A200" s="29" t="s">
        <v>336</v>
      </c>
      <c r="B200" s="29" t="s">
        <v>184</v>
      </c>
      <c r="C200" s="30" t="str">
        <f>+RIGHT(Table4[[#This Row],[City]],2)</f>
        <v>OH</v>
      </c>
      <c r="D200" s="29" t="s">
        <v>117</v>
      </c>
      <c r="E200" s="37">
        <v>2014</v>
      </c>
      <c r="F200" s="29" t="s">
        <v>0</v>
      </c>
      <c r="G200" s="29" t="s">
        <v>5</v>
      </c>
      <c r="H200" s="38">
        <f>39200000*35000/28000</f>
        <v>49000000</v>
      </c>
      <c r="I200" s="34">
        <f>14000+21000</f>
        <v>35000</v>
      </c>
      <c r="J200" s="39" t="s">
        <v>38</v>
      </c>
      <c r="K200" s="40">
        <v>0.76</v>
      </c>
      <c r="L200" s="34">
        <f>Table4[[#This Row],[Capacity]]*6.615*Table4[[#This Row],[Utilization]]</f>
        <v>175959</v>
      </c>
      <c r="M200" s="35">
        <f>Table4[[#This Row],[NG Cons (Low) MMBTU]]/1000/1000/365</f>
        <v>4.8207945205479453E-4</v>
      </c>
      <c r="N200" s="34">
        <f>Table4[[#This Row],[Capacity]]*13.23*Table4[[#This Row],[Utilization]]</f>
        <v>351918</v>
      </c>
      <c r="O200" s="35">
        <f>Table4[[#This Row],[NG Cons (High) MMBTU]]/1000/1000/365</f>
        <v>9.6415890410958907E-4</v>
      </c>
      <c r="P200" s="6"/>
    </row>
    <row r="201" spans="1:16" ht="15.75" customHeight="1" x14ac:dyDescent="0.3">
      <c r="A201" s="29" t="s">
        <v>336</v>
      </c>
      <c r="B201" s="29" t="s">
        <v>184</v>
      </c>
      <c r="C201" s="30" t="str">
        <f>+RIGHT(Table4[[#This Row],[City]],2)</f>
        <v>OH</v>
      </c>
      <c r="D201" s="29" t="s">
        <v>117</v>
      </c>
      <c r="E201" s="37">
        <v>2013</v>
      </c>
      <c r="F201" s="29" t="s">
        <v>69</v>
      </c>
      <c r="G201" s="29" t="s">
        <v>5</v>
      </c>
      <c r="H201" s="38">
        <v>39200000</v>
      </c>
      <c r="I201" s="34">
        <v>28000</v>
      </c>
      <c r="J201" s="39" t="s">
        <v>38</v>
      </c>
      <c r="K201" s="40">
        <v>0.76</v>
      </c>
      <c r="L201" s="34">
        <f>Table4[[#This Row],[Capacity]]*6.615*Table4[[#This Row],[Utilization]]</f>
        <v>140767.20000000001</v>
      </c>
      <c r="M201" s="35">
        <f>Table4[[#This Row],[NG Cons (Low) MMBTU]]/1000/1000/365</f>
        <v>3.8566356164383562E-4</v>
      </c>
      <c r="N201" s="34">
        <f>Table4[[#This Row],[Capacity]]*13.23*Table4[[#This Row],[Utilization]]</f>
        <v>281534.40000000002</v>
      </c>
      <c r="O201" s="35">
        <f>Table4[[#This Row],[NG Cons (High) MMBTU]]/1000/1000/365</f>
        <v>7.7132712328767123E-4</v>
      </c>
      <c r="P201" s="6"/>
    </row>
    <row r="202" spans="1:16" ht="15.75" customHeight="1" x14ac:dyDescent="0.3">
      <c r="A202" s="29" t="s">
        <v>72</v>
      </c>
      <c r="B202" s="29" t="s">
        <v>70</v>
      </c>
      <c r="C202" s="30" t="str">
        <f>+RIGHT(Table4[[#This Row],[City]],2)</f>
        <v>CA</v>
      </c>
      <c r="D202" s="29" t="s">
        <v>67</v>
      </c>
      <c r="E202" s="37">
        <v>2013</v>
      </c>
      <c r="F202" s="29" t="s">
        <v>69</v>
      </c>
      <c r="G202" s="29" t="s">
        <v>1</v>
      </c>
      <c r="H202" s="38">
        <v>850000000</v>
      </c>
      <c r="I202" s="34">
        <v>19050</v>
      </c>
      <c r="J202" s="39" t="s">
        <v>38</v>
      </c>
      <c r="K202" s="40">
        <v>0.76</v>
      </c>
      <c r="L202" s="34">
        <f>Table4[[#This Row],[Capacity]]*6*Table4[[#This Row],[Utilization]]</f>
        <v>86868</v>
      </c>
      <c r="M202" s="35">
        <f>Table4[[#This Row],[NG Cons (Low) MMBTU]]/1000/1000/365</f>
        <v>2.3799452054794521E-4</v>
      </c>
      <c r="N202" s="34">
        <f>Table4[[#This Row],[NG Cons (Low) MMBTU]]</f>
        <v>86868</v>
      </c>
      <c r="O202" s="35">
        <f>Table4[[#This Row],[NG Cons (High) MMBTU]]/1000/1000/365</f>
        <v>2.3799452054794521E-4</v>
      </c>
      <c r="P202" s="6"/>
    </row>
    <row r="203" spans="1:16" ht="15.75" customHeight="1" x14ac:dyDescent="0.3">
      <c r="A203" s="29" t="s">
        <v>71</v>
      </c>
      <c r="B203" s="29" t="s">
        <v>70</v>
      </c>
      <c r="C203" s="30" t="str">
        <f>+RIGHT(Table4[[#This Row],[City]],2)</f>
        <v>CA</v>
      </c>
      <c r="D203" s="29" t="s">
        <v>67</v>
      </c>
      <c r="E203" s="37" t="s">
        <v>37</v>
      </c>
      <c r="F203" s="29" t="s">
        <v>253</v>
      </c>
      <c r="G203" s="29" t="s">
        <v>1</v>
      </c>
      <c r="H203" s="38">
        <v>400000000</v>
      </c>
      <c r="I203" s="34">
        <f>40000</f>
        <v>40000</v>
      </c>
      <c r="J203" s="39" t="s">
        <v>38</v>
      </c>
      <c r="K203" s="40">
        <v>0.76</v>
      </c>
      <c r="L203" s="34">
        <f>Table4[[#This Row],[Capacity]]*6*Table4[[#This Row],[Utilization]]</f>
        <v>182400</v>
      </c>
      <c r="M203" s="35">
        <f>Table4[[#This Row],[NG Cons (Low) MMBTU]]/1000/1000/365</f>
        <v>4.9972602739726027E-4</v>
      </c>
      <c r="N203" s="34">
        <f>Table4[[#This Row],[NG Cons (Low) MMBTU]]</f>
        <v>182400</v>
      </c>
      <c r="O203" s="35">
        <f>Table4[[#This Row],[NG Cons (High) MMBTU]]/1000/1000/365</f>
        <v>4.9972602739726027E-4</v>
      </c>
      <c r="P203" s="6"/>
    </row>
    <row r="204" spans="1:16" ht="15.75" customHeight="1" x14ac:dyDescent="0.3">
      <c r="A204" s="29" t="s">
        <v>101</v>
      </c>
      <c r="B204" s="29" t="s">
        <v>404</v>
      </c>
      <c r="C204" s="30" t="str">
        <f>+RIGHT(Table4[[#This Row],[City]],2)</f>
        <v>LA</v>
      </c>
      <c r="D204" s="29" t="s">
        <v>312</v>
      </c>
      <c r="E204" s="37" t="s">
        <v>37</v>
      </c>
      <c r="F204" s="29" t="s">
        <v>89</v>
      </c>
      <c r="G204" s="29" t="s">
        <v>1</v>
      </c>
      <c r="H204" s="38">
        <v>700000000</v>
      </c>
      <c r="I204" s="34">
        <v>800000</v>
      </c>
      <c r="J204" s="39" t="s">
        <v>38</v>
      </c>
      <c r="K204" s="40">
        <v>0.76</v>
      </c>
      <c r="L204" s="34">
        <f>Table4[[#This Row],[Capacity]]*30.87*Table4[[#This Row],[Utilization]]</f>
        <v>18768960</v>
      </c>
      <c r="M204" s="35">
        <f>Table4[[#This Row],[NG Cons (Low) MMBTU]]/1000/1000/365</f>
        <v>5.1421808219178085E-2</v>
      </c>
      <c r="N204" s="34">
        <f>Table4[[#This Row],[Capacity]]*36.58</f>
        <v>29264000</v>
      </c>
      <c r="O204" s="35">
        <f>Table4[[#This Row],[NG Cons (High) MMBTU]]/1000/1000/365</f>
        <v>8.0175342465753419E-2</v>
      </c>
      <c r="P204" s="6"/>
    </row>
    <row r="205" spans="1:16" ht="15.75" customHeight="1" x14ac:dyDescent="0.3">
      <c r="A205" s="29" t="s">
        <v>86</v>
      </c>
      <c r="B205" s="29" t="s">
        <v>405</v>
      </c>
      <c r="C205" s="30" t="str">
        <f>+RIGHT(Table4[[#This Row],[City]],2)</f>
        <v>LA</v>
      </c>
      <c r="D205" s="29" t="s">
        <v>312</v>
      </c>
      <c r="E205" s="29">
        <v>2014</v>
      </c>
      <c r="F205" s="29" t="s">
        <v>69</v>
      </c>
      <c r="G205" s="29" t="s">
        <v>1</v>
      </c>
      <c r="H205" s="38">
        <v>13900000</v>
      </c>
      <c r="I205" s="34">
        <f>Table4[[#This Row],[Investment $]]/1000</f>
        <v>13900</v>
      </c>
      <c r="J205" s="39" t="s">
        <v>38</v>
      </c>
      <c r="K205" s="40">
        <v>0.76</v>
      </c>
      <c r="L205" s="34">
        <f>Table4[[#This Row],[Capacity]]*30.87*Table4[[#This Row],[Utilization]]</f>
        <v>326110.68</v>
      </c>
      <c r="M205" s="35">
        <f>Table4[[#This Row],[NG Cons (Low) MMBTU]]/1000/1000/365</f>
        <v>8.9345391780821918E-4</v>
      </c>
      <c r="N205" s="34">
        <f>Table4[[#This Row],[Capacity]]*36.58</f>
        <v>508462</v>
      </c>
      <c r="O205" s="35">
        <f>Table4[[#This Row],[NG Cons (High) MMBTU]]/1000/1000/365</f>
        <v>1.3930465753424657E-3</v>
      </c>
      <c r="P205" s="6"/>
    </row>
    <row r="206" spans="1:16" ht="15.75" customHeight="1" x14ac:dyDescent="0.3">
      <c r="A206" s="29" t="s">
        <v>337</v>
      </c>
      <c r="B206" s="29" t="s">
        <v>406</v>
      </c>
      <c r="C206" s="30" t="str">
        <f>+RIGHT(Table4[[#This Row],[City]],2)</f>
        <v>KS</v>
      </c>
      <c r="D206" s="29" t="s">
        <v>265</v>
      </c>
      <c r="E206" s="37">
        <v>2016</v>
      </c>
      <c r="F206" s="29" t="s">
        <v>0</v>
      </c>
      <c r="G206" s="29" t="s">
        <v>5</v>
      </c>
      <c r="H206" s="38">
        <f>Table4[[#This Row],[Capacity]]/90*55000000</f>
        <v>24444444.444444444</v>
      </c>
      <c r="I206" s="34">
        <v>40</v>
      </c>
      <c r="J206" s="39" t="s">
        <v>266</v>
      </c>
      <c r="K206" s="40">
        <v>0.76</v>
      </c>
      <c r="L206" s="34">
        <f>Table4[[#This Row],[Capacity]]*1000*365*0.443*Table4[[#This Row],[Utilization]]</f>
        <v>4915528</v>
      </c>
      <c r="M206" s="35">
        <f>Table4[[#This Row],[NG Cons (Low) MMBTU]]/1000/1000/365</f>
        <v>1.34672E-2</v>
      </c>
      <c r="N206" s="34">
        <f>Table4[[#This Row],[Capacity]]*1000*365*0.48*Table4[[#This Row],[Utilization]]</f>
        <v>5326080</v>
      </c>
      <c r="O206" s="35">
        <f>Table4[[#This Row],[NG Cons (High) MMBTU]]/1000/1000/365</f>
        <v>1.4592000000000001E-2</v>
      </c>
      <c r="P206" s="6"/>
    </row>
    <row r="207" spans="1:16" s="17" customFormat="1" ht="15.75" customHeight="1" x14ac:dyDescent="0.3">
      <c r="A207" s="29" t="s">
        <v>88</v>
      </c>
      <c r="B207" s="29" t="s">
        <v>87</v>
      </c>
      <c r="C207" s="30" t="str">
        <f>+RIGHT(Table4[[#This Row],[City]],2)</f>
        <v>ND</v>
      </c>
      <c r="D207" s="29" t="s">
        <v>312</v>
      </c>
      <c r="E207" s="29">
        <v>2018</v>
      </c>
      <c r="F207" s="29" t="s">
        <v>110</v>
      </c>
      <c r="G207" s="29" t="s">
        <v>1</v>
      </c>
      <c r="H207" s="38">
        <v>2500000000</v>
      </c>
      <c r="I207" s="34">
        <v>876000</v>
      </c>
      <c r="J207" s="39" t="s">
        <v>38</v>
      </c>
      <c r="K207" s="40">
        <v>0.76</v>
      </c>
      <c r="L207" s="34">
        <f>Table4[[#This Row],[Capacity]]*30.87*Table4[[#This Row],[Utilization]]</f>
        <v>20552011.199999999</v>
      </c>
      <c r="M207" s="35">
        <f>Table4[[#This Row],[NG Cons (Low) MMBTU]]/1000/1000/365</f>
        <v>5.6306880000000011E-2</v>
      </c>
      <c r="N207" s="34">
        <f>Table4[[#This Row],[Capacity]]*36.58</f>
        <v>32044080</v>
      </c>
      <c r="O207" s="35">
        <f>Table4[[#This Row],[NG Cons (High) MMBTU]]/1000/1000/365</f>
        <v>8.7792000000000009E-2</v>
      </c>
    </row>
    <row r="208" spans="1:16" ht="15.75" customHeight="1" x14ac:dyDescent="0.3">
      <c r="A208" s="29" t="s">
        <v>249</v>
      </c>
      <c r="B208" s="29" t="s">
        <v>250</v>
      </c>
      <c r="C208" s="30" t="str">
        <f>+RIGHT(Table4[[#This Row],[City]],2)</f>
        <v>WA</v>
      </c>
      <c r="D208" s="29" t="s">
        <v>98</v>
      </c>
      <c r="E208" s="29">
        <v>2018</v>
      </c>
      <c r="F208" s="29" t="s">
        <v>110</v>
      </c>
      <c r="G208" s="29" t="s">
        <v>1</v>
      </c>
      <c r="H208" s="38">
        <v>1800000000</v>
      </c>
      <c r="I208" s="34">
        <v>1825000</v>
      </c>
      <c r="J208" s="39" t="s">
        <v>38</v>
      </c>
      <c r="K208" s="40">
        <v>0.76</v>
      </c>
      <c r="L208" s="34">
        <f>Table4[[#This Row],[Capacity]]*31.968*Table4[[#This Row],[Utilization]]</f>
        <v>44339616</v>
      </c>
      <c r="M208" s="35">
        <f>Table4[[#This Row],[NG Cons (Low) MMBTU]]/1000/1000/365</f>
        <v>0.1214784</v>
      </c>
      <c r="N208" s="34">
        <f>Table4[[#This Row],[Capacity]]*32.634*Table4[[#This Row],[Utilization]]</f>
        <v>45263358</v>
      </c>
      <c r="O208" s="35">
        <f>Table4[[#This Row],[NG Cons (High) MMBTU]]/1000/1000/365</f>
        <v>0.12400919999999999</v>
      </c>
      <c r="P208" s="6"/>
    </row>
    <row r="209" spans="1:16" ht="15.75" customHeight="1" x14ac:dyDescent="0.3">
      <c r="A209" s="29" t="s">
        <v>249</v>
      </c>
      <c r="B209" s="29" t="s">
        <v>369</v>
      </c>
      <c r="C209" s="30" t="str">
        <f>+RIGHT(Table4[[#This Row],[City]],2)</f>
        <v>OR</v>
      </c>
      <c r="D209" s="29" t="s">
        <v>98</v>
      </c>
      <c r="E209" s="29">
        <v>2018</v>
      </c>
      <c r="F209" s="29" t="s">
        <v>110</v>
      </c>
      <c r="G209" s="29" t="s">
        <v>1</v>
      </c>
      <c r="H209" s="38">
        <v>1800000000</v>
      </c>
      <c r="I209" s="34">
        <v>1825000</v>
      </c>
      <c r="J209" s="39" t="s">
        <v>38</v>
      </c>
      <c r="K209" s="40">
        <v>0.76</v>
      </c>
      <c r="L209" s="34">
        <f>Table4[[#This Row],[Capacity]]*31.968*Table4[[#This Row],[Utilization]]</f>
        <v>44339616</v>
      </c>
      <c r="M209" s="35">
        <f>Table4[[#This Row],[NG Cons (Low) MMBTU]]/1000/1000/365</f>
        <v>0.1214784</v>
      </c>
      <c r="N209" s="34">
        <f>Table4[[#This Row],[Capacity]]*32.634*Table4[[#This Row],[Utilization]]</f>
        <v>45263358</v>
      </c>
      <c r="O209" s="35">
        <f>Table4[[#This Row],[NG Cons (High) MMBTU]]/1000/1000/365</f>
        <v>0.12400919999999999</v>
      </c>
      <c r="P209" s="6"/>
    </row>
    <row r="210" spans="1:16" ht="15.75" customHeight="1" x14ac:dyDescent="0.3">
      <c r="A210" s="29" t="s">
        <v>249</v>
      </c>
      <c r="B210" s="29" t="s">
        <v>275</v>
      </c>
      <c r="C210" s="30" t="str">
        <f>+RIGHT(Table4[[#This Row],[City]],2)</f>
        <v>WA</v>
      </c>
      <c r="D210" s="29" t="s">
        <v>98</v>
      </c>
      <c r="E210" s="29">
        <v>2019</v>
      </c>
      <c r="F210" s="29" t="s">
        <v>227</v>
      </c>
      <c r="G210" s="29" t="s">
        <v>1</v>
      </c>
      <c r="H210" s="38">
        <v>3400000000</v>
      </c>
      <c r="I210" s="34">
        <v>1825000</v>
      </c>
      <c r="J210" s="39" t="s">
        <v>38</v>
      </c>
      <c r="K210" s="40">
        <v>0.76</v>
      </c>
      <c r="L210" s="34">
        <f>Table4[[#This Row],[Capacity]]*31.968*Table4[[#This Row],[Utilization]]</f>
        <v>44339616</v>
      </c>
      <c r="M210" s="35">
        <f>Table4[[#This Row],[NG Cons (Low) MMBTU]]/1000/1000/365</f>
        <v>0.1214784</v>
      </c>
      <c r="N210" s="34">
        <f>Table4[[#This Row],[Capacity]]*32.634*Table4[[#This Row],[Utilization]]</f>
        <v>45263358</v>
      </c>
      <c r="O210" s="35">
        <f>Table4[[#This Row],[NG Cons (High) MMBTU]]/1000/1000/365</f>
        <v>0.12400919999999999</v>
      </c>
      <c r="P210" s="6"/>
    </row>
    <row r="211" spans="1:16" ht="15.75" customHeight="1" x14ac:dyDescent="0.3">
      <c r="A211" s="29" t="s">
        <v>235</v>
      </c>
      <c r="B211" s="29" t="s">
        <v>43</v>
      </c>
      <c r="C211" s="30" t="str">
        <f>+RIGHT(Table4[[#This Row],[City]],2)</f>
        <v>LA</v>
      </c>
      <c r="D211" s="29" t="s">
        <v>322</v>
      </c>
      <c r="E211" s="29">
        <v>2013</v>
      </c>
      <c r="F211" s="29" t="s">
        <v>69</v>
      </c>
      <c r="G211" s="29" t="s">
        <v>1</v>
      </c>
      <c r="H211" s="38">
        <v>750000000</v>
      </c>
      <c r="I211" s="34">
        <v>2500000</v>
      </c>
      <c r="J211" s="39" t="s">
        <v>38</v>
      </c>
      <c r="K211" s="40">
        <v>0.8</v>
      </c>
      <c r="L211" s="34">
        <f>Table4[[#This Row],[Capacity]]*9.425*Table4[[#This Row],[Utilization]]</f>
        <v>18850000</v>
      </c>
      <c r="M211" s="35">
        <f>Table4[[#This Row],[NG Cons (Low) MMBTU]]/1000/1000/365</f>
        <v>5.1643835616438358E-2</v>
      </c>
      <c r="N211" s="34">
        <f>Table4[[#This Row],[Capacity]]*13*Table4[[#This Row],[Utilization]]</f>
        <v>26000000</v>
      </c>
      <c r="O211" s="35">
        <f>Table4[[#This Row],[NG Cons (High) MMBTU]]/1000/1000/365</f>
        <v>7.1232876712328766E-2</v>
      </c>
      <c r="P211" s="6"/>
    </row>
    <row r="212" spans="1:16" ht="15.75" customHeight="1" x14ac:dyDescent="0.3">
      <c r="A212" s="29" t="s">
        <v>235</v>
      </c>
      <c r="B212" s="29" t="s">
        <v>46</v>
      </c>
      <c r="C212" s="30" t="str">
        <f>+RIGHT(Table4[[#This Row],[City]],2)</f>
        <v>AK</v>
      </c>
      <c r="D212" s="29" t="s">
        <v>322</v>
      </c>
      <c r="E212" s="29">
        <v>2014</v>
      </c>
      <c r="F212" s="29" t="s">
        <v>69</v>
      </c>
      <c r="G212" s="29" t="s">
        <v>5</v>
      </c>
      <c r="H212" s="38">
        <v>115000000</v>
      </c>
      <c r="I212" s="34">
        <v>115000</v>
      </c>
      <c r="J212" s="39" t="s">
        <v>38</v>
      </c>
      <c r="K212" s="40">
        <v>0.8</v>
      </c>
      <c r="L212" s="34">
        <f>Table4[[#This Row],[Capacity]]*9.425*Table4[[#This Row],[Utilization]]</f>
        <v>867100</v>
      </c>
      <c r="M212" s="35">
        <f>Table4[[#This Row],[NG Cons (Low) MMBTU]]/1000/1000/365</f>
        <v>2.3756164383561644E-3</v>
      </c>
      <c r="N212" s="34">
        <f>Table4[[#This Row],[Capacity]]*13*Table4[[#This Row],[Utilization]]</f>
        <v>1196000</v>
      </c>
      <c r="O212" s="35">
        <f>Table4[[#This Row],[NG Cons (High) MMBTU]]/1000/1000/365</f>
        <v>3.2767123287671231E-3</v>
      </c>
      <c r="P212" s="6"/>
    </row>
    <row r="213" spans="1:16" ht="15.75" customHeight="1" x14ac:dyDescent="0.3">
      <c r="A213" s="29" t="s">
        <v>235</v>
      </c>
      <c r="B213" s="29"/>
      <c r="C213" s="30" t="s">
        <v>413</v>
      </c>
      <c r="D213" s="29" t="s">
        <v>322</v>
      </c>
      <c r="E213" s="39">
        <v>2014</v>
      </c>
      <c r="F213" s="29" t="s">
        <v>69</v>
      </c>
      <c r="G213" s="29" t="s">
        <v>5</v>
      </c>
      <c r="H213" s="38">
        <v>290000000</v>
      </c>
      <c r="I213" s="34">
        <v>1000000</v>
      </c>
      <c r="J213" s="39" t="s">
        <v>38</v>
      </c>
      <c r="K213" s="40">
        <v>0.8</v>
      </c>
      <c r="L213" s="34">
        <f>Table4[[#This Row],[Capacity]]*9.425*Table4[[#This Row],[Utilization]]</f>
        <v>7540000</v>
      </c>
      <c r="M213" s="35">
        <f>Table4[[#This Row],[NG Cons (Low) MMBTU]]/1000/1000/365</f>
        <v>2.0657534246575342E-2</v>
      </c>
      <c r="N213" s="34">
        <f>Table4[[#This Row],[Capacity]]*13*Table4[[#This Row],[Utilization]]</f>
        <v>10400000</v>
      </c>
      <c r="O213" s="35">
        <f>Table4[[#This Row],[NG Cons (High) MMBTU]]/1000/1000/365</f>
        <v>2.8493150684931509E-2</v>
      </c>
      <c r="P213" s="6"/>
    </row>
    <row r="214" spans="1:16" ht="15.75" customHeight="1" x14ac:dyDescent="0.3">
      <c r="A214" s="29" t="s">
        <v>68</v>
      </c>
      <c r="B214" s="29" t="s">
        <v>431</v>
      </c>
      <c r="C214" s="30" t="str">
        <f>+RIGHT(Table4[[#This Row],[City]],2)</f>
        <v>TN</v>
      </c>
      <c r="D214" s="29" t="s">
        <v>67</v>
      </c>
      <c r="E214" s="29">
        <v>2014</v>
      </c>
      <c r="F214" s="29" t="s">
        <v>69</v>
      </c>
      <c r="G214" s="29" t="s">
        <v>1</v>
      </c>
      <c r="H214" s="38">
        <v>270000000</v>
      </c>
      <c r="I214" s="34">
        <v>382500</v>
      </c>
      <c r="J214" s="29" t="s">
        <v>66</v>
      </c>
      <c r="K214" s="40">
        <v>0.76</v>
      </c>
      <c r="L214" s="34">
        <f>Table4[[#This Row],[Capacity]]*6*Table4[[#This Row],[Utilization]]</f>
        <v>1744200</v>
      </c>
      <c r="M214" s="35">
        <f>Table4[[#This Row],[NG Cons (Low) MMBTU]]/1000/1000/365</f>
        <v>4.7786301369863015E-3</v>
      </c>
      <c r="N214" s="34">
        <f>Table4[[#This Row],[NG Cons (Low) MMBTU]]</f>
        <v>1744200</v>
      </c>
      <c r="O214" s="35">
        <f>Table4[[#This Row],[NG Cons (High) MMBTU]]/1000/1000/365</f>
        <v>4.7786301369863015E-3</v>
      </c>
      <c r="P214" s="6"/>
    </row>
    <row r="215" spans="1:16" s="28" customFormat="1" ht="15.75" customHeight="1" x14ac:dyDescent="0.3">
      <c r="A215" s="29" t="s">
        <v>301</v>
      </c>
      <c r="B215" s="29" t="s">
        <v>115</v>
      </c>
      <c r="C215" s="30" t="str">
        <f>+RIGHT(Table4[[#This Row],[City]],2)</f>
        <v>TX</v>
      </c>
      <c r="D215" s="29" t="s">
        <v>98</v>
      </c>
      <c r="E215" s="29">
        <v>2017</v>
      </c>
      <c r="F215" s="29" t="s">
        <v>0</v>
      </c>
      <c r="G215" s="29" t="s">
        <v>1</v>
      </c>
      <c r="H215" s="38">
        <v>1000000000</v>
      </c>
      <c r="I215" s="34">
        <v>1750000</v>
      </c>
      <c r="J215" s="39" t="s">
        <v>38</v>
      </c>
      <c r="K215" s="40">
        <v>0.76</v>
      </c>
      <c r="L215" s="34">
        <f>Table4[[#This Row],[Capacity]]*31.968*Table4[[#This Row],[Utilization]]</f>
        <v>42517440</v>
      </c>
      <c r="M215" s="35">
        <f>Table4[[#This Row],[NG Cons (Low) MMBTU]]/1000/1000/365</f>
        <v>0.11648613698630138</v>
      </c>
      <c r="N215" s="34">
        <f>Table4[[#This Row],[Capacity]]*32.634*Table4[[#This Row],[Utilization]]</f>
        <v>43403220</v>
      </c>
      <c r="O215" s="35">
        <f>Table4[[#This Row],[NG Cons (High) MMBTU]]/1000/1000/365</f>
        <v>0.11891293150684933</v>
      </c>
    </row>
    <row r="216" spans="1:16" ht="15.75" customHeight="1" x14ac:dyDescent="0.3">
      <c r="A216" s="29" t="s">
        <v>314</v>
      </c>
      <c r="B216" s="29" t="s">
        <v>368</v>
      </c>
      <c r="C216" s="30" t="str">
        <f>+RIGHT(Table4[[#This Row],[City]],2)</f>
        <v>IA</v>
      </c>
      <c r="D216" s="29" t="s">
        <v>312</v>
      </c>
      <c r="E216" s="29">
        <v>2017</v>
      </c>
      <c r="F216" s="29" t="s">
        <v>0</v>
      </c>
      <c r="G216" s="29" t="s">
        <v>1</v>
      </c>
      <c r="H216" s="38">
        <v>1800000000</v>
      </c>
      <c r="I216" s="34">
        <v>1500000</v>
      </c>
      <c r="J216" s="39" t="s">
        <v>38</v>
      </c>
      <c r="K216" s="40">
        <v>0.76</v>
      </c>
      <c r="L216" s="34">
        <f>Table4[[#This Row],[Capacity]]*30.87*Table4[[#This Row],[Utilization]]</f>
        <v>35191800</v>
      </c>
      <c r="M216" s="35">
        <f>Table4[[#This Row],[NG Cons (Low) MMBTU]]/1000/1000/365</f>
        <v>9.641589041095891E-2</v>
      </c>
      <c r="N216" s="34">
        <f>Table4[[#This Row],[Capacity]]*36.58</f>
        <v>54870000</v>
      </c>
      <c r="O216" s="35">
        <f>Table4[[#This Row],[NG Cons (High) MMBTU]]/1000/1000/365</f>
        <v>0.15032876712328766</v>
      </c>
      <c r="P216" s="6"/>
    </row>
    <row r="217" spans="1:16" ht="15.75" customHeight="1" x14ac:dyDescent="0.3">
      <c r="A217" s="29" t="s">
        <v>95</v>
      </c>
      <c r="B217" s="29" t="s">
        <v>386</v>
      </c>
      <c r="C217" s="30" t="str">
        <f>+RIGHT(Table4[[#This Row],[City]],2)</f>
        <v>IN</v>
      </c>
      <c r="D217" s="29" t="s">
        <v>312</v>
      </c>
      <c r="E217" s="29">
        <v>2017</v>
      </c>
      <c r="F217" s="29" t="s">
        <v>0</v>
      </c>
      <c r="G217" s="29" t="s">
        <v>1</v>
      </c>
      <c r="H217" s="38">
        <v>1200000000</v>
      </c>
      <c r="I217" s="34">
        <f>2420/1.1*365</f>
        <v>803000</v>
      </c>
      <c r="J217" s="39" t="s">
        <v>38</v>
      </c>
      <c r="K217" s="40">
        <v>0.76</v>
      </c>
      <c r="L217" s="34">
        <f>Table4[[#This Row],[Capacity]]*30.87*Table4[[#This Row],[Utilization]]</f>
        <v>18839343.600000001</v>
      </c>
      <c r="M217" s="35">
        <f>Table4[[#This Row],[NG Cons (Low) MMBTU]]/1000/1000/365</f>
        <v>5.1614639999999996E-2</v>
      </c>
      <c r="N217" s="34">
        <f>Table4[[#This Row],[Capacity]]*36.58</f>
        <v>29373740</v>
      </c>
      <c r="O217" s="35">
        <f>Table4[[#This Row],[NG Cons (High) MMBTU]]/1000/1000/365</f>
        <v>8.0476000000000006E-2</v>
      </c>
      <c r="P217" s="6"/>
    </row>
    <row r="218" spans="1:16" ht="15.75" customHeight="1" x14ac:dyDescent="0.3">
      <c r="A218" s="29" t="s">
        <v>140</v>
      </c>
      <c r="B218" s="29" t="s">
        <v>139</v>
      </c>
      <c r="C218" s="30" t="str">
        <f>+RIGHT(Table4[[#This Row],[City]],2)</f>
        <v>KS</v>
      </c>
      <c r="D218" s="29" t="s">
        <v>133</v>
      </c>
      <c r="E218" s="29">
        <v>2013</v>
      </c>
      <c r="F218" s="29" t="s">
        <v>69</v>
      </c>
      <c r="G218" s="29" t="s">
        <v>1</v>
      </c>
      <c r="H218" s="38">
        <v>117000000</v>
      </c>
      <c r="I218" s="34">
        <v>60000</v>
      </c>
      <c r="J218" s="39" t="s">
        <v>76</v>
      </c>
      <c r="K218" s="40">
        <v>0.76</v>
      </c>
      <c r="L218" s="34"/>
      <c r="M218" s="35">
        <f>Table4[[#This Row],[NG Cons (Low) MMBTU]]/1000/1000/365</f>
        <v>0</v>
      </c>
      <c r="N218" s="34"/>
      <c r="O218" s="35">
        <f>Table4[[#This Row],[NG Cons (High) MMBTU]]/1000/1000/365</f>
        <v>0</v>
      </c>
      <c r="P218" s="6"/>
    </row>
    <row r="219" spans="1:16" ht="15.75" customHeight="1" x14ac:dyDescent="0.3">
      <c r="A219" s="29" t="s">
        <v>241</v>
      </c>
      <c r="B219" s="29" t="s">
        <v>134</v>
      </c>
      <c r="C219" s="30" t="str">
        <f>+RIGHT(Table4[[#This Row],[City]],2)</f>
        <v>TX</v>
      </c>
      <c r="D219" s="29" t="s">
        <v>133</v>
      </c>
      <c r="E219" s="29">
        <v>2013</v>
      </c>
      <c r="F219" s="29" t="s">
        <v>69</v>
      </c>
      <c r="G219" s="29" t="s">
        <v>1</v>
      </c>
      <c r="H219" s="38">
        <v>395000000</v>
      </c>
      <c r="I219" s="34">
        <v>75000</v>
      </c>
      <c r="J219" s="39" t="s">
        <v>76</v>
      </c>
      <c r="K219" s="40">
        <v>0.76</v>
      </c>
      <c r="L219" s="34"/>
      <c r="M219" s="35">
        <f>Table4[[#This Row],[NG Cons (Low) MMBTU]]/1000/1000/365</f>
        <v>0</v>
      </c>
      <c r="N219" s="34"/>
      <c r="O219" s="35">
        <f>Table4[[#This Row],[NG Cons (High) MMBTU]]/1000/1000/365</f>
        <v>0</v>
      </c>
      <c r="P219" s="6"/>
    </row>
    <row r="220" spans="1:16" ht="15.75" customHeight="1" x14ac:dyDescent="0.3">
      <c r="A220" s="29" t="s">
        <v>242</v>
      </c>
      <c r="B220" s="29" t="s">
        <v>134</v>
      </c>
      <c r="C220" s="30" t="str">
        <f>+RIGHT(Table4[[#This Row],[City]],2)</f>
        <v>TX</v>
      </c>
      <c r="D220" s="29" t="s">
        <v>133</v>
      </c>
      <c r="E220" s="29">
        <v>2014</v>
      </c>
      <c r="F220" s="29" t="s">
        <v>0</v>
      </c>
      <c r="G220" s="29" t="s">
        <v>1</v>
      </c>
      <c r="H220" s="38">
        <v>415000000</v>
      </c>
      <c r="I220" s="34">
        <v>75000</v>
      </c>
      <c r="J220" s="39" t="s">
        <v>76</v>
      </c>
      <c r="K220" s="40">
        <v>0.76</v>
      </c>
      <c r="L220" s="34"/>
      <c r="M220" s="35"/>
      <c r="N220" s="34"/>
      <c r="O220" s="35"/>
      <c r="P220" s="6"/>
    </row>
    <row r="221" spans="1:16" ht="15.75" customHeight="1" x14ac:dyDescent="0.3">
      <c r="A221" s="29" t="s">
        <v>108</v>
      </c>
      <c r="B221" s="29" t="s">
        <v>115</v>
      </c>
      <c r="C221" s="30" t="str">
        <f>+RIGHT(Table4[[#This Row],[City]],2)</f>
        <v>TX</v>
      </c>
      <c r="D221" s="29" t="s">
        <v>98</v>
      </c>
      <c r="E221" s="29">
        <v>2012</v>
      </c>
      <c r="F221" s="29" t="s">
        <v>247</v>
      </c>
      <c r="G221" s="29" t="s">
        <v>57</v>
      </c>
      <c r="H221" s="38">
        <v>65000000</v>
      </c>
      <c r="I221" s="34">
        <v>750000</v>
      </c>
      <c r="J221" s="39" t="s">
        <v>38</v>
      </c>
      <c r="K221" s="40">
        <v>0.76</v>
      </c>
      <c r="L221" s="34">
        <f>Table4[[#This Row],[Capacity]]*31.968*Table4[[#This Row],[Utilization]]</f>
        <v>18221760</v>
      </c>
      <c r="M221" s="35">
        <f>Table4[[#This Row],[NG Cons (Low) MMBTU]]/1000/1000/365</f>
        <v>4.99226301369863E-2</v>
      </c>
      <c r="N221" s="34">
        <f>Table4[[#This Row],[Capacity]]*32.634*Table4[[#This Row],[Utilization]]</f>
        <v>18601380</v>
      </c>
      <c r="O221" s="35">
        <f>Table4[[#This Row],[NG Cons (High) MMBTU]]/1000/1000/365</f>
        <v>5.0962684931506859E-2</v>
      </c>
      <c r="P221" s="6"/>
    </row>
    <row r="222" spans="1:16" ht="15.75" customHeight="1" x14ac:dyDescent="0.3">
      <c r="A222" s="29" t="s">
        <v>370</v>
      </c>
      <c r="B222" s="29" t="s">
        <v>371</v>
      </c>
      <c r="C222" s="30" t="str">
        <f>+RIGHT(Table4[[#This Row],[City]],2)</f>
        <v>WA</v>
      </c>
      <c r="D222" s="29" t="s">
        <v>312</v>
      </c>
      <c r="E222" s="39">
        <v>2021</v>
      </c>
      <c r="F222" s="29" t="s">
        <v>116</v>
      </c>
      <c r="G222" s="29" t="s">
        <v>1</v>
      </c>
      <c r="H222" s="38"/>
      <c r="I222" s="34"/>
      <c r="J222" s="39"/>
      <c r="K222" s="33"/>
      <c r="L222" s="34"/>
      <c r="M222" s="35">
        <f>Table4[[#This Row],[NG Cons (Low) MMBTU]]/1000/1000/365</f>
        <v>0</v>
      </c>
      <c r="N222" s="34"/>
      <c r="O222" s="35"/>
      <c r="P222" s="6"/>
    </row>
    <row r="223" spans="1:16" ht="15.75" customHeight="1" x14ac:dyDescent="0.3">
      <c r="A223" s="29" t="s">
        <v>372</v>
      </c>
      <c r="B223" s="29" t="s">
        <v>220</v>
      </c>
      <c r="C223" s="30" t="str">
        <f>+RIGHT(Table4[[#This Row],[City]],2)</f>
        <v>TX</v>
      </c>
      <c r="D223" s="29" t="s">
        <v>312</v>
      </c>
      <c r="E223" s="39">
        <v>2016</v>
      </c>
      <c r="F223" s="29" t="s">
        <v>0</v>
      </c>
      <c r="G223" s="29" t="s">
        <v>1</v>
      </c>
      <c r="H223" s="38"/>
      <c r="I223" s="34">
        <f>598.742*365</f>
        <v>218540.83</v>
      </c>
      <c r="J223" s="39" t="s">
        <v>38</v>
      </c>
      <c r="K223" s="33">
        <v>0.76</v>
      </c>
      <c r="L223" s="34"/>
      <c r="M223" s="35">
        <f>Table4[[#This Row],[NG Cons (Low) MMBTU]]/1000/1000/365</f>
        <v>0</v>
      </c>
      <c r="N223" s="34"/>
      <c r="O223" s="35"/>
      <c r="P223" s="6"/>
    </row>
    <row r="224" spans="1:16" ht="15.75" customHeight="1" x14ac:dyDescent="0.3">
      <c r="A224" s="29" t="s">
        <v>373</v>
      </c>
      <c r="B224" s="29" t="s">
        <v>374</v>
      </c>
      <c r="C224" s="30" t="str">
        <f>+RIGHT(Table4[[#This Row],[City]],2)</f>
        <v>IN</v>
      </c>
      <c r="D224" s="29" t="s">
        <v>312</v>
      </c>
      <c r="E224" s="39">
        <v>2018</v>
      </c>
      <c r="F224" s="29" t="s">
        <v>110</v>
      </c>
      <c r="G224" s="29" t="s">
        <v>1</v>
      </c>
      <c r="H224" s="38">
        <v>450000000</v>
      </c>
      <c r="I224" s="34">
        <f>1500*365</f>
        <v>547500</v>
      </c>
      <c r="J224" s="39" t="s">
        <v>38</v>
      </c>
      <c r="K224" s="40">
        <v>0.76</v>
      </c>
      <c r="L224" s="34">
        <f>Table4[[#This Row],[Capacity]]*30.87*Table4[[#This Row],[Utilization]]</f>
        <v>12845007</v>
      </c>
      <c r="M224" s="35">
        <f>Table4[[#This Row],[NG Cons (Low) MMBTU]]/1000/1000/365</f>
        <v>3.5191799999999995E-2</v>
      </c>
      <c r="N224" s="34">
        <f>Table4[[#This Row],[Capacity]]*36.58</f>
        <v>20027550</v>
      </c>
      <c r="O224" s="35">
        <f>Table4[[#This Row],[NG Cons (High) MMBTU]]/1000/1000/365</f>
        <v>5.4869999999999995E-2</v>
      </c>
      <c r="P224" s="6"/>
    </row>
    <row r="225" spans="1:16" ht="15.75" customHeight="1" x14ac:dyDescent="0.3">
      <c r="A225" s="60" t="s">
        <v>243</v>
      </c>
      <c r="B225" s="39" t="s">
        <v>244</v>
      </c>
      <c r="C225" s="30" t="str">
        <f>+RIGHT(Table4[[#This Row],[City]],2)</f>
        <v>TX</v>
      </c>
      <c r="D225" s="29" t="s">
        <v>133</v>
      </c>
      <c r="E225" s="39">
        <v>2015</v>
      </c>
      <c r="F225" s="29" t="s">
        <v>0</v>
      </c>
      <c r="G225" s="29" t="s">
        <v>1</v>
      </c>
      <c r="H225" s="58"/>
      <c r="I225" s="59">
        <v>100000</v>
      </c>
      <c r="J225" s="39" t="s">
        <v>76</v>
      </c>
      <c r="K225" s="40">
        <v>0.76</v>
      </c>
      <c r="L225" s="59"/>
      <c r="M225" s="35"/>
      <c r="N225" s="59"/>
      <c r="O225" s="35"/>
      <c r="P225" s="6"/>
    </row>
    <row r="226" spans="1:16" ht="15.75" customHeight="1" x14ac:dyDescent="0.3">
      <c r="A226" s="29" t="s">
        <v>212</v>
      </c>
      <c r="B226" s="29" t="s">
        <v>213</v>
      </c>
      <c r="C226" s="30" t="str">
        <f>+RIGHT(Table4[[#This Row],[City]],2)</f>
        <v>OH</v>
      </c>
      <c r="D226" s="29" t="s">
        <v>312</v>
      </c>
      <c r="E226" s="29">
        <v>2015</v>
      </c>
      <c r="F226" s="29" t="s">
        <v>69</v>
      </c>
      <c r="G226" s="29" t="s">
        <v>5</v>
      </c>
      <c r="H226" s="38">
        <v>190000000</v>
      </c>
      <c r="I226" s="34">
        <f>80000/1.1</f>
        <v>72727.272727272721</v>
      </c>
      <c r="J226" s="39" t="s">
        <v>38</v>
      </c>
      <c r="K226" s="40">
        <v>0.76</v>
      </c>
      <c r="L226" s="34">
        <f>Table4[[#This Row],[Capacity]]*30.87*Table4[[#This Row],[Utilization]]</f>
        <v>1706269.0909090911</v>
      </c>
      <c r="M226" s="35">
        <f>Table4[[#This Row],[NG Cons (Low) MMBTU]]/1000/1000/365</f>
        <v>4.6747098381070993E-3</v>
      </c>
      <c r="N226" s="34">
        <f>Table4[[#This Row],[Capacity]]*36.58</f>
        <v>2660363.6363636358</v>
      </c>
      <c r="O226" s="35">
        <f>Table4[[#This Row],[NG Cons (High) MMBTU]]/1000/1000/365</f>
        <v>7.288667496886672E-3</v>
      </c>
      <c r="P226" s="6"/>
    </row>
    <row r="227" spans="1:16" s="18" customFormat="1" ht="15.75" customHeight="1" x14ac:dyDescent="0.3">
      <c r="A227" s="29" t="s">
        <v>212</v>
      </c>
      <c r="B227" s="29" t="s">
        <v>375</v>
      </c>
      <c r="C227" s="30" t="str">
        <f>+RIGHT(Table4[[#This Row],[City]],2)</f>
        <v>GA</v>
      </c>
      <c r="D227" s="29" t="s">
        <v>312</v>
      </c>
      <c r="E227" s="39"/>
      <c r="F227" s="29" t="s">
        <v>116</v>
      </c>
      <c r="G227" s="29" t="s">
        <v>1</v>
      </c>
      <c r="H227" s="38"/>
      <c r="I227" s="34"/>
      <c r="J227" s="39"/>
      <c r="K227" s="40"/>
      <c r="L227" s="34"/>
      <c r="M227" s="35">
        <f>Table4[[#This Row],[NG Cons (Low) MMBTU]]/1000/1000/365</f>
        <v>0</v>
      </c>
      <c r="N227" s="34"/>
      <c r="O227" s="35"/>
    </row>
    <row r="228" spans="1:16" ht="15.75" customHeight="1" x14ac:dyDescent="0.3">
      <c r="A228" s="29" t="s">
        <v>302</v>
      </c>
      <c r="B228" s="29" t="s">
        <v>2</v>
      </c>
      <c r="C228" s="30" t="str">
        <f>+RIGHT(Table4[[#This Row],[City]],2)</f>
        <v>LA</v>
      </c>
      <c r="D228" s="29" t="s">
        <v>312</v>
      </c>
      <c r="E228" s="29">
        <v>2013</v>
      </c>
      <c r="F228" s="29" t="s">
        <v>69</v>
      </c>
      <c r="G228" s="29" t="s">
        <v>57</v>
      </c>
      <c r="H228" s="38">
        <v>260000000</v>
      </c>
      <c r="I228" s="34">
        <v>500000</v>
      </c>
      <c r="J228" s="39" t="s">
        <v>38</v>
      </c>
      <c r="K228" s="40">
        <v>0.76</v>
      </c>
      <c r="L228" s="34">
        <f>Table4[[#This Row],[Capacity]]*30.87*Table4[[#This Row],[Utilization]]</f>
        <v>11730600</v>
      </c>
      <c r="M228" s="35">
        <f>Table4[[#This Row],[NG Cons (Low) MMBTU]]/1000/1000/365</f>
        <v>3.2138630136986306E-2</v>
      </c>
      <c r="N228" s="34">
        <f>Table4[[#This Row],[Capacity]]*36.58</f>
        <v>18290000</v>
      </c>
      <c r="O228" s="35">
        <f>Table4[[#This Row],[NG Cons (High) MMBTU]]/1000/1000/365</f>
        <v>5.0109589041095887E-2</v>
      </c>
      <c r="P228" s="6"/>
    </row>
    <row r="229" spans="1:16" ht="15.75" customHeight="1" x14ac:dyDescent="0.3">
      <c r="A229" s="29" t="s">
        <v>264</v>
      </c>
      <c r="B229" s="29" t="s">
        <v>252</v>
      </c>
      <c r="C229" s="30" t="str">
        <f>+RIGHT(Table4[[#This Row],[City]],2)</f>
        <v>LA</v>
      </c>
      <c r="D229" s="29" t="s">
        <v>265</v>
      </c>
      <c r="E229" s="37">
        <v>2013</v>
      </c>
      <c r="F229" s="29" t="s">
        <v>69</v>
      </c>
      <c r="G229" s="29" t="s">
        <v>1</v>
      </c>
      <c r="H229" s="38">
        <f>Table4[[#This Row],[Capacity]]/90*55000000</f>
        <v>82500000</v>
      </c>
      <c r="I229" s="34">
        <v>135</v>
      </c>
      <c r="J229" s="39" t="s">
        <v>266</v>
      </c>
      <c r="K229" s="40">
        <v>0.76</v>
      </c>
      <c r="L229" s="34">
        <f>Table4[[#This Row],[Capacity]]*1000*365*0.443*Table4[[#This Row],[Utilization]]</f>
        <v>16589907</v>
      </c>
      <c r="M229" s="35">
        <f>Table4[[#This Row],[NG Cons (Low) MMBTU]]/1000/1000/365</f>
        <v>4.5451800000000001E-2</v>
      </c>
      <c r="N229" s="34">
        <f>Table4[[#This Row],[Capacity]]*1000*365*0.48*Table4[[#This Row],[Utilization]]</f>
        <v>17975520</v>
      </c>
      <c r="O229" s="35">
        <f>Table4[[#This Row],[NG Cons (High) MMBTU]]/1000/1000/365</f>
        <v>4.9248E-2</v>
      </c>
      <c r="P229" s="6"/>
    </row>
    <row r="230" spans="1:16" ht="15.75" customHeight="1" x14ac:dyDescent="0.3">
      <c r="A230" s="29" t="s">
        <v>264</v>
      </c>
      <c r="B230" s="29" t="s">
        <v>161</v>
      </c>
      <c r="C230" s="30" t="str">
        <f>+RIGHT(Table4[[#This Row],[City]],2)</f>
        <v>TX</v>
      </c>
      <c r="D230" s="29" t="s">
        <v>265</v>
      </c>
      <c r="E230" s="37">
        <v>2013</v>
      </c>
      <c r="F230" s="29" t="s">
        <v>69</v>
      </c>
      <c r="G230" s="29" t="s">
        <v>1</v>
      </c>
      <c r="H230" s="38">
        <f>Table4[[#This Row],[Capacity]]/90*55000000</f>
        <v>82500000</v>
      </c>
      <c r="I230" s="34">
        <v>135</v>
      </c>
      <c r="J230" s="39" t="s">
        <v>266</v>
      </c>
      <c r="K230" s="40">
        <v>0.76</v>
      </c>
      <c r="L230" s="34">
        <f>Table4[[#This Row],[Capacity]]*1000*365*0.443*Table4[[#This Row],[Utilization]]</f>
        <v>16589907</v>
      </c>
      <c r="M230" s="35">
        <f>Table4[[#This Row],[NG Cons (Low) MMBTU]]/1000/1000/365</f>
        <v>4.5451800000000001E-2</v>
      </c>
      <c r="N230" s="34">
        <f>Table4[[#This Row],[Capacity]]*1000*365*0.48*Table4[[#This Row],[Utilization]]</f>
        <v>17975520</v>
      </c>
      <c r="O230" s="35">
        <f>Table4[[#This Row],[NG Cons (High) MMBTU]]/1000/1000/365</f>
        <v>4.9248E-2</v>
      </c>
      <c r="P230" s="6"/>
    </row>
    <row r="231" spans="1:16" ht="15.75" customHeight="1" x14ac:dyDescent="0.3">
      <c r="A231" s="29" t="s">
        <v>264</v>
      </c>
      <c r="B231" s="29" t="s">
        <v>376</v>
      </c>
      <c r="C231" s="30" t="str">
        <f>+RIGHT(Table4[[#This Row],[City]],2)</f>
        <v>NY</v>
      </c>
      <c r="D231" s="29" t="s">
        <v>265</v>
      </c>
      <c r="E231" s="37">
        <v>2015</v>
      </c>
      <c r="F231" s="29" t="s">
        <v>0</v>
      </c>
      <c r="G231" s="29" t="s">
        <v>5</v>
      </c>
      <c r="H231" s="38">
        <v>22000000</v>
      </c>
      <c r="I231" s="34">
        <v>7.5</v>
      </c>
      <c r="J231" s="39" t="s">
        <v>266</v>
      </c>
      <c r="K231" s="40">
        <v>0.76</v>
      </c>
      <c r="L231" s="34">
        <f>Table4[[#This Row],[Capacity]]*1000*365*0.443*Table4[[#This Row],[Utilization]]</f>
        <v>921661.5</v>
      </c>
      <c r="M231" s="35">
        <f>Table4[[#This Row],[NG Cons (Low) MMBTU]]/1000/1000/365</f>
        <v>2.5251000000000002E-3</v>
      </c>
      <c r="N231" s="34">
        <f>Table4[[#This Row],[Capacity]]*1000*365*0.48*Table4[[#This Row],[Utilization]]</f>
        <v>998640</v>
      </c>
      <c r="O231" s="35">
        <f>Table4[[#This Row],[NG Cons (High) MMBTU]]/1000/1000/365</f>
        <v>2.7359999999999997E-3</v>
      </c>
      <c r="P231" s="6"/>
    </row>
    <row r="232" spans="1:16" ht="15.75" customHeight="1" x14ac:dyDescent="0.3">
      <c r="A232" s="29" t="s">
        <v>264</v>
      </c>
      <c r="B232" s="29" t="s">
        <v>407</v>
      </c>
      <c r="C232" s="30" t="str">
        <f>+RIGHT(Table4[[#This Row],[City]],2)</f>
        <v>NM</v>
      </c>
      <c r="D232" s="29" t="s">
        <v>4</v>
      </c>
      <c r="E232" s="29">
        <v>2014</v>
      </c>
      <c r="F232" s="29" t="s">
        <v>84</v>
      </c>
      <c r="G232" s="29" t="s">
        <v>1</v>
      </c>
      <c r="H232" s="38"/>
      <c r="I232" s="34"/>
      <c r="J232" s="39"/>
      <c r="K232" s="40">
        <v>0.76</v>
      </c>
      <c r="L232" s="34"/>
      <c r="M232" s="35"/>
      <c r="N232" s="34"/>
      <c r="O232" s="35"/>
      <c r="P232" s="6"/>
    </row>
    <row r="233" spans="1:16" ht="15.75" customHeight="1" x14ac:dyDescent="0.3">
      <c r="A233" s="29" t="s">
        <v>264</v>
      </c>
      <c r="B233" s="29" t="s">
        <v>73</v>
      </c>
      <c r="C233" s="30" t="str">
        <f>+RIGHT(Table4[[#This Row],[City]],2)</f>
        <v>TX</v>
      </c>
      <c r="D233" s="29" t="s">
        <v>265</v>
      </c>
      <c r="E233" s="39">
        <v>2017</v>
      </c>
      <c r="F233" s="29" t="s">
        <v>0</v>
      </c>
      <c r="G233" s="29" t="s">
        <v>1</v>
      </c>
      <c r="H233" s="38">
        <v>400000000</v>
      </c>
      <c r="I233" s="34"/>
      <c r="J233" s="39"/>
      <c r="K233" s="33">
        <v>0.76</v>
      </c>
      <c r="L233" s="34">
        <f>Table4[[#This Row],[Capacity]]*1000*365*0.443*Table4[[#This Row],[Utilization]]</f>
        <v>0</v>
      </c>
      <c r="M233" s="35">
        <f>Table4[[#This Row],[NG Cons (Low) MMBTU]]/1000/1000/365</f>
        <v>0</v>
      </c>
      <c r="N233" s="34">
        <f>Table4[[#This Row],[Capacity]]*1000*365*0.48*Table4[[#This Row],[Utilization]]</f>
        <v>0</v>
      </c>
      <c r="O233" s="35">
        <f>Table4[[#This Row],[NG Cons (High) MMBTU]]/1000/1000/365</f>
        <v>0</v>
      </c>
      <c r="P233" s="6"/>
    </row>
    <row r="234" spans="1:16" ht="15.75" customHeight="1" x14ac:dyDescent="0.3">
      <c r="A234" s="29" t="s">
        <v>329</v>
      </c>
      <c r="B234" s="29"/>
      <c r="C234" s="30" t="s">
        <v>402</v>
      </c>
      <c r="D234" s="29" t="s">
        <v>172</v>
      </c>
      <c r="E234" s="37">
        <v>2017</v>
      </c>
      <c r="F234" s="29" t="s">
        <v>84</v>
      </c>
      <c r="G234" s="29" t="s">
        <v>1</v>
      </c>
      <c r="H234" s="38">
        <v>200000000</v>
      </c>
      <c r="I234" s="34">
        <v>2500</v>
      </c>
      <c r="J234" s="39" t="s">
        <v>76</v>
      </c>
      <c r="K234" s="40">
        <v>0.76</v>
      </c>
      <c r="L234" s="34">
        <f>Table4[[#This Row],[Capacity]]/10000*101/1000*365*1024*1000*Table4[[#This Row],[Utilization]]</f>
        <v>7172454.4000000004</v>
      </c>
      <c r="M234" s="35">
        <f>Table4[[#This Row],[NG Cons (Low) MMBTU]]/1000/1000/365</f>
        <v>1.9650560000000001E-2</v>
      </c>
      <c r="N234" s="34">
        <f>Table4[[#This Row],[Capacity]]*365*10*1024/875*Table4[[#This Row],[Utilization]]</f>
        <v>8115931.4285714291</v>
      </c>
      <c r="O234" s="35">
        <f>Table4[[#This Row],[NG Cons (High) MMBTU]]/1000/1000/365</f>
        <v>2.2235428571428573E-2</v>
      </c>
      <c r="P234" s="6"/>
    </row>
    <row r="235" spans="1:16" ht="15.75" customHeight="1" x14ac:dyDescent="0.3">
      <c r="A235" s="29" t="s">
        <v>124</v>
      </c>
      <c r="B235" s="29" t="s">
        <v>353</v>
      </c>
      <c r="C235" s="30" t="str">
        <f>+RIGHT(Table4[[#This Row],[City]],2)</f>
        <v>OH</v>
      </c>
      <c r="D235" s="29" t="s">
        <v>315</v>
      </c>
      <c r="E235" s="37">
        <v>2020</v>
      </c>
      <c r="F235" s="29" t="s">
        <v>89</v>
      </c>
      <c r="G235" s="29" t="s">
        <v>1</v>
      </c>
      <c r="H235" s="38">
        <v>5700000000</v>
      </c>
      <c r="I235" s="34">
        <v>1000000</v>
      </c>
      <c r="J235" s="39" t="s">
        <v>38</v>
      </c>
      <c r="K235" s="40">
        <v>0.76</v>
      </c>
      <c r="L235" s="34">
        <f>19.3*Table4[[#This Row],[Capacity]]*Table4[[#This Row],[Utilization]]</f>
        <v>14668000</v>
      </c>
      <c r="M235" s="35">
        <f>Table4[[#This Row],[NG Cons (Low) MMBTU]]/1000/1000/365</f>
        <v>4.0186301369863009E-2</v>
      </c>
      <c r="N235" s="34">
        <f>Table4[[#This Row],[Capacity]]*30.87*Table4[[#This Row],[Utilization]]</f>
        <v>23461200</v>
      </c>
      <c r="O235" s="35">
        <f>Table4[[#This Row],[NG Cons (High) MMBTU]]/1000/1000/365</f>
        <v>6.4277260273972611E-2</v>
      </c>
      <c r="P235" s="6"/>
    </row>
    <row r="236" spans="1:16" ht="15.75" customHeight="1" x14ac:dyDescent="0.3">
      <c r="A236" s="29" t="s">
        <v>286</v>
      </c>
      <c r="B236" s="29" t="s">
        <v>146</v>
      </c>
      <c r="C236" s="30" t="str">
        <f>+RIGHT(Table4[[#This Row],[City]],2)</f>
        <v>UT</v>
      </c>
      <c r="D236" s="29" t="s">
        <v>133</v>
      </c>
      <c r="E236" s="29">
        <v>2013</v>
      </c>
      <c r="F236" s="29" t="s">
        <v>69</v>
      </c>
      <c r="G236" s="29" t="s">
        <v>5</v>
      </c>
      <c r="H236" s="38">
        <v>58500000</v>
      </c>
      <c r="I236" s="34">
        <v>10000</v>
      </c>
      <c r="J236" s="39" t="s">
        <v>76</v>
      </c>
      <c r="K236" s="40">
        <v>0.76</v>
      </c>
      <c r="L236" s="34"/>
      <c r="M236" s="35">
        <f>Table4[[#This Row],[NG Cons (Low) MMBTU]]/1000/1000/365</f>
        <v>0</v>
      </c>
      <c r="N236" s="34"/>
      <c r="O236" s="35">
        <f>Table4[[#This Row],[NG Cons (High) MMBTU]]/1000/1000/365</f>
        <v>0</v>
      </c>
      <c r="P236" s="6"/>
    </row>
    <row r="237" spans="1:16" s="23" customFormat="1" ht="15.75" customHeight="1" x14ac:dyDescent="0.3">
      <c r="A237" s="29" t="s">
        <v>114</v>
      </c>
      <c r="B237" s="29" t="s">
        <v>220</v>
      </c>
      <c r="C237" s="30" t="str">
        <f>+RIGHT(Table4[[#This Row],[City]],2)</f>
        <v>TX</v>
      </c>
      <c r="D237" s="29" t="s">
        <v>312</v>
      </c>
      <c r="E237" s="29">
        <v>2014</v>
      </c>
      <c r="F237" s="29" t="s">
        <v>69</v>
      </c>
      <c r="G237" s="29" t="s">
        <v>5</v>
      </c>
      <c r="H237" s="38">
        <f>63120000</f>
        <v>63120000</v>
      </c>
      <c r="I237" s="34">
        <v>153300</v>
      </c>
      <c r="J237" s="39" t="s">
        <v>38</v>
      </c>
      <c r="K237" s="40">
        <v>0.76</v>
      </c>
      <c r="L237" s="34">
        <f>Table4[[#This Row],[Capacity]]*30.87*Table4[[#This Row],[Utilization]]</f>
        <v>3596601.96</v>
      </c>
      <c r="M237" s="35">
        <f>Table4[[#This Row],[NG Cons (Low) MMBTU]]/1000/1000/365</f>
        <v>9.8537039999999996E-3</v>
      </c>
      <c r="N237" s="34">
        <f>Table4[[#This Row],[Capacity]]*36.58</f>
        <v>5607714</v>
      </c>
      <c r="O237" s="35">
        <f>Table4[[#This Row],[NG Cons (High) MMBTU]]/1000/1000/365</f>
        <v>1.53636E-2</v>
      </c>
    </row>
    <row r="238" spans="1:16" ht="15.75" customHeight="1" x14ac:dyDescent="0.3">
      <c r="A238" s="29" t="s">
        <v>114</v>
      </c>
      <c r="B238" s="29" t="s">
        <v>113</v>
      </c>
      <c r="C238" s="30" t="str">
        <f>+RIGHT(Table4[[#This Row],[City]],2)</f>
        <v>IL</v>
      </c>
      <c r="D238" s="29" t="s">
        <v>312</v>
      </c>
      <c r="E238" s="29">
        <v>2014</v>
      </c>
      <c r="F238" s="29" t="s">
        <v>69</v>
      </c>
      <c r="G238" s="29" t="s">
        <v>5</v>
      </c>
      <c r="H238" s="38">
        <v>101300000</v>
      </c>
      <c r="I238" s="34">
        <f>190/1.1*365</f>
        <v>63045.454545454544</v>
      </c>
      <c r="J238" s="39" t="s">
        <v>38</v>
      </c>
      <c r="K238" s="40">
        <v>0.76</v>
      </c>
      <c r="L238" s="34">
        <f>Table4[[#This Row],[Capacity]]*30.87*Table4[[#This Row],[Utilization]]</f>
        <v>1479122.0181818183</v>
      </c>
      <c r="M238" s="35">
        <f>Table4[[#This Row],[NG Cons (Low) MMBTU]]/1000/1000/365</f>
        <v>4.052389090909091E-3</v>
      </c>
      <c r="N238" s="34">
        <f>Table4[[#This Row],[Capacity]]*36.58</f>
        <v>2306202.7272727271</v>
      </c>
      <c r="O238" s="35">
        <f>Table4[[#This Row],[NG Cons (High) MMBTU]]/1000/1000/365</f>
        <v>6.318363636363635E-3</v>
      </c>
      <c r="P238" s="6"/>
    </row>
    <row r="239" spans="1:16" ht="15.75" customHeight="1" x14ac:dyDescent="0.3">
      <c r="A239" s="29" t="s">
        <v>210</v>
      </c>
      <c r="B239" s="29" t="s">
        <v>211</v>
      </c>
      <c r="C239" s="30" t="str">
        <f>+RIGHT(Table4[[#This Row],[City]],2)</f>
        <v>TX</v>
      </c>
      <c r="D239" s="29" t="s">
        <v>117</v>
      </c>
      <c r="E239" s="37">
        <v>2017</v>
      </c>
      <c r="F239" s="29" t="s">
        <v>84</v>
      </c>
      <c r="G239" s="29" t="s">
        <v>5</v>
      </c>
      <c r="H239" s="38">
        <v>860000000</v>
      </c>
      <c r="I239" s="34">
        <v>570000</v>
      </c>
      <c r="J239" s="39" t="s">
        <v>38</v>
      </c>
      <c r="K239" s="40">
        <v>0.76</v>
      </c>
      <c r="L239" s="34">
        <f>Table4[[#This Row],[Capacity]]*6.615*Table4[[#This Row],[Utilization]]</f>
        <v>2865618</v>
      </c>
      <c r="M239" s="35">
        <f>Table4[[#This Row],[NG Cons (Low) MMBTU]]/1000/1000/365</f>
        <v>7.8510082191780815E-3</v>
      </c>
      <c r="N239" s="34">
        <f>Table4[[#This Row],[Capacity]]*13.23*Table4[[#This Row],[Utilization]]</f>
        <v>5731236</v>
      </c>
      <c r="O239" s="35">
        <f>Table4[[#This Row],[NG Cons (High) MMBTU]]/1000/1000/365</f>
        <v>1.5702016438356163E-2</v>
      </c>
      <c r="P239" s="6"/>
    </row>
    <row r="240" spans="1:16" ht="15.75" customHeight="1" x14ac:dyDescent="0.3">
      <c r="A240" s="29" t="s">
        <v>33</v>
      </c>
      <c r="B240" s="29" t="s">
        <v>32</v>
      </c>
      <c r="C240" s="30" t="str">
        <f>+RIGHT(Table4[[#This Row],[City]],2)</f>
        <v>MN</v>
      </c>
      <c r="D240" s="29" t="s">
        <v>168</v>
      </c>
      <c r="E240" s="29">
        <v>2013</v>
      </c>
      <c r="F240" s="29" t="s">
        <v>69</v>
      </c>
      <c r="G240" s="29" t="s">
        <v>1</v>
      </c>
      <c r="H240" s="38">
        <v>150000000</v>
      </c>
      <c r="I240" s="34"/>
      <c r="J240" s="29"/>
      <c r="K240" s="40"/>
      <c r="L240" s="34"/>
      <c r="M240" s="35">
        <f>Table4[[#This Row],[NG Cons (Low) MMBTU]]/1000/1000/365</f>
        <v>0</v>
      </c>
      <c r="N240" s="34"/>
      <c r="O240" s="35">
        <f>Table4[[#This Row],[NG Cons (High) MMBTU]]/1000/1000/365</f>
        <v>0</v>
      </c>
      <c r="P240" s="6"/>
    </row>
    <row r="241" spans="1:16" ht="15.75" customHeight="1" x14ac:dyDescent="0.3">
      <c r="A241" s="29" t="s">
        <v>83</v>
      </c>
      <c r="B241" s="29" t="s">
        <v>79</v>
      </c>
      <c r="C241" s="30" t="str">
        <f>+RIGHT(Table4[[#This Row],[City]],2)</f>
        <v>LA</v>
      </c>
      <c r="D241" s="29" t="s">
        <v>315</v>
      </c>
      <c r="E241" s="29">
        <v>2018</v>
      </c>
      <c r="F241" s="29" t="s">
        <v>0</v>
      </c>
      <c r="G241" s="29" t="s">
        <v>1</v>
      </c>
      <c r="H241" s="38">
        <f>8100000000-SUM(H436,H460)</f>
        <v>8100000000</v>
      </c>
      <c r="I241" s="34">
        <v>1500000</v>
      </c>
      <c r="J241" s="39" t="s">
        <v>38</v>
      </c>
      <c r="K241" s="40">
        <v>0.76</v>
      </c>
      <c r="L241" s="34">
        <f>19.3*Table4[[#This Row],[Capacity]]*Table4[[#This Row],[Utilization]]</f>
        <v>22002000</v>
      </c>
      <c r="M241" s="35">
        <f>Table4[[#This Row],[NG Cons (Low) MMBTU]]/1000/1000/365</f>
        <v>6.027945205479452E-2</v>
      </c>
      <c r="N241" s="34">
        <f>Table4[[#This Row],[Capacity]]*30.87*Table4[[#This Row],[Utilization]]</f>
        <v>35191800</v>
      </c>
      <c r="O241" s="35">
        <f>Table4[[#This Row],[NG Cons (High) MMBTU]]/1000/1000/365</f>
        <v>9.641589041095891E-2</v>
      </c>
      <c r="P241" s="6"/>
    </row>
    <row r="242" spans="1:16" ht="15.75" customHeight="1" x14ac:dyDescent="0.3">
      <c r="A242" s="29" t="s">
        <v>83</v>
      </c>
      <c r="B242" s="29" t="s">
        <v>79</v>
      </c>
      <c r="C242" s="30" t="str">
        <f>+RIGHT(Table4[[#This Row],[City]],2)</f>
        <v>LA</v>
      </c>
      <c r="D242" s="29" t="s">
        <v>78</v>
      </c>
      <c r="E242" s="29">
        <v>2019</v>
      </c>
      <c r="F242" s="29" t="s">
        <v>253</v>
      </c>
      <c r="G242" s="29" t="s">
        <v>1</v>
      </c>
      <c r="H242" s="34">
        <v>14000000000</v>
      </c>
      <c r="I242" s="34">
        <v>96000</v>
      </c>
      <c r="J242" s="39" t="s">
        <v>76</v>
      </c>
      <c r="K242" s="40">
        <v>0.76</v>
      </c>
      <c r="L242" s="34">
        <f>Table4[[#This Row],[Capacity]]/10000*101/1000*365*1024*1000*Table4[[#This Row],[Utilization]]</f>
        <v>275422248.95999998</v>
      </c>
      <c r="M242" s="35">
        <f>Table4[[#This Row],[NG Cons (Low) MMBTU]]/1000/1000/365</f>
        <v>0.75458150400000001</v>
      </c>
      <c r="N242" s="34">
        <f>Table4[[#This Row],[Capacity]]*365*10*1024/875*Table4[[#This Row],[Utilization]]</f>
        <v>311651766.85714287</v>
      </c>
      <c r="O242" s="35">
        <f>Table4[[#This Row],[NG Cons (High) MMBTU]]/1000/1000/365</f>
        <v>0.85384045714285706</v>
      </c>
      <c r="P242" s="6"/>
    </row>
    <row r="243" spans="1:16" ht="15.75" customHeight="1" x14ac:dyDescent="0.3">
      <c r="A243" s="29" t="s">
        <v>83</v>
      </c>
      <c r="B243" s="29" t="s">
        <v>79</v>
      </c>
      <c r="C243" s="30" t="str">
        <f>+RIGHT(Table4[[#This Row],[City]],2)</f>
        <v>LA</v>
      </c>
      <c r="D243" s="29" t="s">
        <v>120</v>
      </c>
      <c r="E243" s="29">
        <v>2018</v>
      </c>
      <c r="F243" s="29" t="s">
        <v>89</v>
      </c>
      <c r="G243" s="29" t="s">
        <v>1</v>
      </c>
      <c r="H243" s="38">
        <f>+Table4[[#This Row],[Capacity]]*444</f>
        <v>199800000</v>
      </c>
      <c r="I243" s="34">
        <v>450000</v>
      </c>
      <c r="J243" s="39" t="s">
        <v>38</v>
      </c>
      <c r="K243" s="40">
        <v>0.76</v>
      </c>
      <c r="L243" s="34">
        <f>Table4[[#This Row],[Capacity]]*4.8*Table4[[#This Row],[Utilization]]</f>
        <v>1641600</v>
      </c>
      <c r="M243" s="35">
        <f>Table4[[#This Row],[NG Cons (Low) MMBTU]]/1000/1000/365</f>
        <v>4.4975342465753427E-3</v>
      </c>
      <c r="N243" s="34">
        <f>Table4[[#This Row],[NG Cons (Low) MMBTU]]</f>
        <v>1641600</v>
      </c>
      <c r="O243" s="35">
        <f>Table4[[#This Row],[NG Cons (High) MMBTU]]/1000/1000/365</f>
        <v>4.4975342465753427E-3</v>
      </c>
      <c r="P243" s="6"/>
    </row>
    <row r="244" spans="1:16" ht="15.75" customHeight="1" x14ac:dyDescent="0.3">
      <c r="A244" s="29" t="s">
        <v>209</v>
      </c>
      <c r="B244" s="29" t="s">
        <v>261</v>
      </c>
      <c r="C244" s="30" t="str">
        <f>+RIGHT(Table4[[#This Row],[City]],2)</f>
        <v>TX</v>
      </c>
      <c r="D244" s="29" t="s">
        <v>120</v>
      </c>
      <c r="E244" s="37">
        <v>2017</v>
      </c>
      <c r="F244" s="29" t="s">
        <v>0</v>
      </c>
      <c r="G244" s="29" t="s">
        <v>1</v>
      </c>
      <c r="H244" s="38">
        <v>500000000</v>
      </c>
      <c r="I244" s="34">
        <v>470000</v>
      </c>
      <c r="J244" s="39" t="s">
        <v>38</v>
      </c>
      <c r="K244" s="40">
        <v>0.76</v>
      </c>
      <c r="L244" s="34">
        <f>Table4[[#This Row],[Capacity]]*4.8*Table4[[#This Row],[Utilization]]</f>
        <v>1714560</v>
      </c>
      <c r="M244" s="35">
        <f>Table4[[#This Row],[NG Cons (Low) MMBTU]]/1000/1000/365</f>
        <v>4.6974246575342462E-3</v>
      </c>
      <c r="N244" s="34">
        <f>Table4[[#This Row],[NG Cons (Low) MMBTU]]</f>
        <v>1714560</v>
      </c>
      <c r="O244" s="35">
        <f>Table4[[#This Row],[NG Cons (High) MMBTU]]/1000/1000/365</f>
        <v>4.6974246575342462E-3</v>
      </c>
      <c r="P244" s="6"/>
    </row>
    <row r="245" spans="1:16" ht="15.75" customHeight="1" x14ac:dyDescent="0.3">
      <c r="A245" s="29" t="s">
        <v>228</v>
      </c>
      <c r="B245" s="29" t="s">
        <v>174</v>
      </c>
      <c r="C245" s="30" t="str">
        <f>+RIGHT(Table4[[#This Row],[City]],2)</f>
        <v>LA</v>
      </c>
      <c r="D245" s="29" t="s">
        <v>78</v>
      </c>
      <c r="E245" s="37">
        <v>2017</v>
      </c>
      <c r="F245" s="29" t="s">
        <v>0</v>
      </c>
      <c r="G245" s="29" t="s">
        <v>1</v>
      </c>
      <c r="H245" s="38">
        <v>135000000</v>
      </c>
      <c r="I245" s="34">
        <v>1100</v>
      </c>
      <c r="J245" s="39" t="s">
        <v>76</v>
      </c>
      <c r="K245" s="40">
        <v>0.76</v>
      </c>
      <c r="L245" s="34">
        <f>Table4[[#This Row],[Capacity]]/10000*101/1000*365*1024*1000*Table4[[#This Row],[Utilization]]</f>
        <v>3155879.9360000002</v>
      </c>
      <c r="M245" s="35">
        <f>Table4[[#This Row],[NG Cons (Low) MMBTU]]/1000/1000/365</f>
        <v>8.6462463999999999E-3</v>
      </c>
      <c r="N245" s="34">
        <f>Table4[[#This Row],[Capacity]]*365*10*1024/875*Table4[[#This Row],[Utilization]]</f>
        <v>3571009.8285714285</v>
      </c>
      <c r="O245" s="35">
        <f>Table4[[#This Row],[NG Cons (High) MMBTU]]/1000/1000/365</f>
        <v>9.7835885714285704E-3</v>
      </c>
      <c r="P245" s="6"/>
    </row>
    <row r="246" spans="1:16" ht="15.75" customHeight="1" x14ac:dyDescent="0.3">
      <c r="A246" s="29" t="s">
        <v>82</v>
      </c>
      <c r="B246" s="29"/>
      <c r="C246" s="30" t="s">
        <v>246</v>
      </c>
      <c r="D246" s="29" t="s">
        <v>78</v>
      </c>
      <c r="E246" s="37"/>
      <c r="F246" s="29" t="s">
        <v>227</v>
      </c>
      <c r="G246" s="29" t="s">
        <v>1</v>
      </c>
      <c r="H246" s="38">
        <v>12500000000</v>
      </c>
      <c r="I246" s="34">
        <v>140000</v>
      </c>
      <c r="J246" s="39" t="s">
        <v>76</v>
      </c>
      <c r="K246" s="40">
        <v>0.76</v>
      </c>
      <c r="L246" s="34">
        <f>Table4[[#This Row],[Capacity]]/10000*101/1000*365*1024*1000*Table4[[#This Row],[Utilization]]</f>
        <v>401657446.39999998</v>
      </c>
      <c r="M246" s="35">
        <f>Table4[[#This Row],[NG Cons (Low) MMBTU]]/1000/1000/365</f>
        <v>1.10043136</v>
      </c>
      <c r="N246" s="34">
        <f>Table4[[#This Row],[Capacity]]*365*10*1024/875*Table4[[#This Row],[Utilization]]</f>
        <v>454492160</v>
      </c>
      <c r="O246" s="35">
        <f>Table4[[#This Row],[NG Cons (High) MMBTU]]/1000/1000/365</f>
        <v>1.2451839999999998</v>
      </c>
      <c r="P246" s="6"/>
    </row>
    <row r="247" spans="1:16" ht="15.75" customHeight="1" x14ac:dyDescent="0.3">
      <c r="A247" s="29" t="s">
        <v>251</v>
      </c>
      <c r="B247" s="29" t="s">
        <v>160</v>
      </c>
      <c r="C247" s="30" t="str">
        <f>+RIGHT(Table4[[#This Row],[City]],2)</f>
        <v>PA</v>
      </c>
      <c r="D247" s="29" t="s">
        <v>315</v>
      </c>
      <c r="E247" s="29">
        <v>2021</v>
      </c>
      <c r="F247" s="29" t="s">
        <v>84</v>
      </c>
      <c r="G247" s="29" t="s">
        <v>1</v>
      </c>
      <c r="H247" s="38">
        <v>6000000000</v>
      </c>
      <c r="I247" s="34">
        <v>1500000</v>
      </c>
      <c r="J247" s="39" t="s">
        <v>38</v>
      </c>
      <c r="K247" s="40">
        <v>0.76</v>
      </c>
      <c r="L247" s="34">
        <f>19.3*Table4[[#This Row],[Capacity]]*Table4[[#This Row],[Utilization]]</f>
        <v>22002000</v>
      </c>
      <c r="M247" s="35">
        <f>Table4[[#This Row],[NG Cons (Low) MMBTU]]/1000/1000/365</f>
        <v>6.027945205479452E-2</v>
      </c>
      <c r="N247" s="34">
        <f>Table4[[#This Row],[Capacity]]*30.87*Table4[[#This Row],[Utilization]]</f>
        <v>35191800</v>
      </c>
      <c r="O247" s="35">
        <f>Table4[[#This Row],[NG Cons (High) MMBTU]]/1000/1000/365</f>
        <v>9.641589041095891E-2</v>
      </c>
      <c r="P247" s="6"/>
    </row>
    <row r="248" spans="1:16" ht="15.75" customHeight="1" x14ac:dyDescent="0.3">
      <c r="A248" s="29" t="s">
        <v>251</v>
      </c>
      <c r="B248" s="29" t="s">
        <v>225</v>
      </c>
      <c r="C248" s="30" t="str">
        <f>+RIGHT(Table4[[#This Row],[City]],2)</f>
        <v>TX</v>
      </c>
      <c r="D248" s="29" t="s">
        <v>315</v>
      </c>
      <c r="E248" s="61"/>
      <c r="F248" s="29" t="s">
        <v>116</v>
      </c>
      <c r="G248" s="29" t="s">
        <v>5</v>
      </c>
      <c r="H248" s="38"/>
      <c r="I248" s="34"/>
      <c r="J248" s="32"/>
      <c r="K248" s="32"/>
      <c r="L248" s="34"/>
      <c r="M248" s="35">
        <f>Table4[[#This Row],[NG Cons (Low) MMBTU]]/1000/1000/365</f>
        <v>0</v>
      </c>
      <c r="N248" s="34"/>
      <c r="O248" s="35"/>
      <c r="P248" s="6"/>
    </row>
    <row r="249" spans="1:16" ht="15.75" customHeight="1" x14ac:dyDescent="0.3">
      <c r="A249" s="29" t="s">
        <v>304</v>
      </c>
      <c r="B249" s="29" t="s">
        <v>8</v>
      </c>
      <c r="C249" s="30" t="str">
        <f>+RIGHT(Table4[[#This Row],[City]],2)</f>
        <v>LA</v>
      </c>
      <c r="D249" s="29" t="s">
        <v>315</v>
      </c>
      <c r="E249" s="29">
        <v>2018</v>
      </c>
      <c r="F249" s="29" t="s">
        <v>110</v>
      </c>
      <c r="G249" s="29" t="s">
        <v>1</v>
      </c>
      <c r="H249" s="38">
        <v>972000000</v>
      </c>
      <c r="I249" s="34">
        <v>500000</v>
      </c>
      <c r="J249" s="39" t="s">
        <v>255</v>
      </c>
      <c r="K249" s="40">
        <v>0.76</v>
      </c>
      <c r="L249" s="34">
        <f>19.3*Table4[[#This Row],[Capacity]]*Table4[[#This Row],[Utilization]]</f>
        <v>7334000</v>
      </c>
      <c r="M249" s="35">
        <f>Table4[[#This Row],[NG Cons (Low) MMBTU]]/1000/1000/365</f>
        <v>2.0093150684931504E-2</v>
      </c>
      <c r="N249" s="34">
        <f>Table4[[#This Row],[Capacity]]*30.87*Table4[[#This Row],[Utilization]]</f>
        <v>11730600</v>
      </c>
      <c r="O249" s="35">
        <f>Table4[[#This Row],[NG Cons (High) MMBTU]]/1000/1000/365</f>
        <v>3.2138630136986306E-2</v>
      </c>
      <c r="P249" s="6"/>
    </row>
    <row r="250" spans="1:16" ht="15.75" customHeight="1" x14ac:dyDescent="0.3">
      <c r="A250" s="29" t="s">
        <v>304</v>
      </c>
      <c r="B250" s="29" t="s">
        <v>8</v>
      </c>
      <c r="C250" s="30" t="str">
        <f>+RIGHT(Table4[[#This Row],[City]],2)</f>
        <v>LA</v>
      </c>
      <c r="D250" s="29" t="s">
        <v>67</v>
      </c>
      <c r="E250" s="29">
        <v>2015</v>
      </c>
      <c r="F250" s="29" t="s">
        <v>84</v>
      </c>
      <c r="G250" s="29" t="s">
        <v>5</v>
      </c>
      <c r="H250" s="38">
        <v>500000000</v>
      </c>
      <c r="I250" s="34">
        <v>800000</v>
      </c>
      <c r="J250" s="29" t="s">
        <v>66</v>
      </c>
      <c r="K250" s="40">
        <v>0.76</v>
      </c>
      <c r="L250" s="34">
        <f>Table4[[#This Row],[Capacity]]*6*Table4[[#This Row],[Utilization]]</f>
        <v>3648000</v>
      </c>
      <c r="M250" s="35">
        <f>Table4[[#This Row],[NG Cons (Low) MMBTU]]/1000/1000/365</f>
        <v>9.9945205479452064E-3</v>
      </c>
      <c r="N250" s="34">
        <f>Table4[[#This Row],[NG Cons (Low) MMBTU]]</f>
        <v>3648000</v>
      </c>
      <c r="O250" s="35">
        <f>Table4[[#This Row],[NG Cons (High) MMBTU]]/1000/1000/365</f>
        <v>9.9945205479452064E-3</v>
      </c>
      <c r="P250" s="6"/>
    </row>
    <row r="251" spans="1:16" ht="15.75" customHeight="1" x14ac:dyDescent="0.3">
      <c r="A251" s="29" t="s">
        <v>352</v>
      </c>
      <c r="B251" s="29" t="s">
        <v>8</v>
      </c>
      <c r="C251" s="30" t="str">
        <f>+RIGHT(Table4[[#This Row],[City]],2)</f>
        <v>LA</v>
      </c>
      <c r="D251" s="29" t="s">
        <v>315</v>
      </c>
      <c r="E251" s="17">
        <v>2018</v>
      </c>
      <c r="F251" s="29" t="s">
        <v>0</v>
      </c>
      <c r="G251" s="29" t="s">
        <v>1</v>
      </c>
      <c r="H251" s="38">
        <v>1400000000</v>
      </c>
      <c r="I251" s="34">
        <v>800000</v>
      </c>
      <c r="J251" s="32" t="s">
        <v>38</v>
      </c>
      <c r="K251" s="32">
        <v>0.76</v>
      </c>
      <c r="L251" s="34">
        <f>19.3*Table4[[#This Row],[Capacity]]*Table4[[#This Row],[Utilization]]</f>
        <v>11734400</v>
      </c>
      <c r="M251" s="35">
        <f>Table4[[#This Row],[NG Cons (Low) MMBTU]]/1000/1000/365</f>
        <v>3.214904109589041E-2</v>
      </c>
      <c r="N251" s="34">
        <f>Table4[[#This Row],[Capacity]]*30.87*Table4[[#This Row],[Utilization]]</f>
        <v>18768960</v>
      </c>
      <c r="O251" s="35">
        <f>Table4[[#This Row],[NG Cons (High) MMBTU]]/1000/1000/365</f>
        <v>5.1421808219178085E-2</v>
      </c>
      <c r="P251" s="6"/>
    </row>
    <row r="252" spans="1:16" ht="15.75" customHeight="1" x14ac:dyDescent="0.3">
      <c r="A252" s="29" t="s">
        <v>313</v>
      </c>
      <c r="B252" s="29" t="s">
        <v>308</v>
      </c>
      <c r="C252" s="30" t="str">
        <f>+RIGHT(Table4[[#This Row],[City]],2)</f>
        <v>WY</v>
      </c>
      <c r="D252" s="29" t="s">
        <v>312</v>
      </c>
      <c r="E252" s="37">
        <v>2016</v>
      </c>
      <c r="F252" s="29" t="s">
        <v>110</v>
      </c>
      <c r="G252" s="29" t="s">
        <v>1</v>
      </c>
      <c r="H252" s="38">
        <v>350000000</v>
      </c>
      <c r="I252" s="34">
        <v>199090</v>
      </c>
      <c r="J252" s="39" t="s">
        <v>38</v>
      </c>
      <c r="K252" s="40">
        <v>0.76</v>
      </c>
      <c r="L252" s="34">
        <f>Table4[[#This Row],[Capacity]]*30.87*Table4[[#This Row],[Utilization]]</f>
        <v>4670890.3080000002</v>
      </c>
      <c r="M252" s="35">
        <f>Table4[[#This Row],[NG Cons (Low) MMBTU]]/1000/1000/365</f>
        <v>1.2796959747945204E-2</v>
      </c>
      <c r="N252" s="34">
        <f>Table4[[#This Row],[Capacity]]*36.58</f>
        <v>7282712.1999999993</v>
      </c>
      <c r="O252" s="35">
        <f>Table4[[#This Row],[NG Cons (High) MMBTU]]/1000/1000/365</f>
        <v>1.9952636164383558E-2</v>
      </c>
      <c r="P252" s="6"/>
    </row>
    <row r="253" spans="1:16" ht="15.75" customHeight="1" x14ac:dyDescent="0.3">
      <c r="A253" s="29" t="s">
        <v>207</v>
      </c>
      <c r="B253" s="29" t="s">
        <v>208</v>
      </c>
      <c r="C253" s="30" t="str">
        <f>+RIGHT(Table4[[#This Row],[City]],2)</f>
        <v>WY</v>
      </c>
      <c r="D253" s="29" t="s">
        <v>4</v>
      </c>
      <c r="E253" s="37" t="s">
        <v>37</v>
      </c>
      <c r="F253" s="29" t="s">
        <v>84</v>
      </c>
      <c r="G253" s="29" t="s">
        <v>5</v>
      </c>
      <c r="H253" s="38"/>
      <c r="I253" s="34"/>
      <c r="J253" s="39"/>
      <c r="K253" s="40">
        <v>0.76</v>
      </c>
      <c r="L253" s="34"/>
      <c r="M253" s="35"/>
      <c r="N253" s="34"/>
      <c r="O253" s="35">
        <f>Table4[[#This Row],[NG Cons (High) MMBTU]]/1000/1000/365</f>
        <v>0</v>
      </c>
      <c r="P253" s="6"/>
    </row>
    <row r="254" spans="1:16" ht="15.75" customHeight="1" x14ac:dyDescent="0.3">
      <c r="A254" s="29" t="s">
        <v>206</v>
      </c>
      <c r="B254" s="29" t="s">
        <v>43</v>
      </c>
      <c r="C254" s="30" t="str">
        <f>+RIGHT(Table4[[#This Row],[City]],2)</f>
        <v>LA</v>
      </c>
      <c r="D254" s="29" t="s">
        <v>98</v>
      </c>
      <c r="E254" s="29">
        <v>2017</v>
      </c>
      <c r="F254" s="29" t="s">
        <v>89</v>
      </c>
      <c r="G254" s="29" t="s">
        <v>1</v>
      </c>
      <c r="H254" s="38">
        <v>1300000000</v>
      </c>
      <c r="I254" s="34">
        <v>1920000</v>
      </c>
      <c r="J254" s="39" t="s">
        <v>38</v>
      </c>
      <c r="K254" s="40">
        <v>0.76</v>
      </c>
      <c r="L254" s="34">
        <f>Table4[[#This Row],[Capacity]]*31.968*Table4[[#This Row],[Utilization]]</f>
        <v>46647705.600000001</v>
      </c>
      <c r="M254" s="35">
        <f>Table4[[#This Row],[NG Cons (Low) MMBTU]]/1000/1000/365</f>
        <v>0.12780193315068494</v>
      </c>
      <c r="N254" s="34">
        <f>Table4[[#This Row],[Capacity]]*32.634*Table4[[#This Row],[Utilization]]</f>
        <v>47619532.799999997</v>
      </c>
      <c r="O254" s="35">
        <f>Table4[[#This Row],[NG Cons (High) MMBTU]]/1000/1000/365</f>
        <v>0.13046447342465753</v>
      </c>
      <c r="P254" s="6"/>
    </row>
    <row r="255" spans="1:16" ht="15.75" customHeight="1" x14ac:dyDescent="0.3">
      <c r="A255" s="29" t="s">
        <v>287</v>
      </c>
      <c r="B255" s="29" t="s">
        <v>145</v>
      </c>
      <c r="C255" s="30" t="str">
        <f>+RIGHT(Table4[[#This Row],[City]],2)</f>
        <v>TX</v>
      </c>
      <c r="D255" s="29" t="s">
        <v>133</v>
      </c>
      <c r="E255" s="29">
        <v>2013</v>
      </c>
      <c r="F255" s="29" t="s">
        <v>69</v>
      </c>
      <c r="G255" s="29" t="s">
        <v>5</v>
      </c>
      <c r="H255" s="38">
        <v>64350000</v>
      </c>
      <c r="I255" s="34">
        <v>11500</v>
      </c>
      <c r="J255" s="39" t="s">
        <v>76</v>
      </c>
      <c r="K255" s="40">
        <v>0.76</v>
      </c>
      <c r="L255" s="34"/>
      <c r="M255" s="35">
        <f>Table4[[#This Row],[NG Cons (Low) MMBTU]]/1000/1000/365</f>
        <v>0</v>
      </c>
      <c r="N255" s="34"/>
      <c r="O255" s="35">
        <f>Table4[[#This Row],[NG Cons (High) MMBTU]]/1000/1000/365</f>
        <v>0</v>
      </c>
      <c r="P255" s="6"/>
    </row>
    <row r="256" spans="1:16" ht="15.75" customHeight="1" x14ac:dyDescent="0.3">
      <c r="A256" s="29" t="s">
        <v>103</v>
      </c>
      <c r="B256" s="29" t="s">
        <v>102</v>
      </c>
      <c r="C256" s="30" t="str">
        <f>+RIGHT(Table4[[#This Row],[City]],2)</f>
        <v>TX</v>
      </c>
      <c r="D256" s="29" t="s">
        <v>312</v>
      </c>
      <c r="E256" s="29">
        <v>2016</v>
      </c>
      <c r="F256" s="29" t="s">
        <v>84</v>
      </c>
      <c r="G256" s="29" t="s">
        <v>1</v>
      </c>
      <c r="H256" s="38">
        <v>450000000</v>
      </c>
      <c r="I256" s="34"/>
      <c r="J256" s="39" t="s">
        <v>38</v>
      </c>
      <c r="K256" s="40">
        <v>0.76</v>
      </c>
      <c r="L256" s="34">
        <f>Table4[[#This Row],[Capacity]]*30.87*Table4[[#This Row],[Utilization]]</f>
        <v>0</v>
      </c>
      <c r="M256" s="35">
        <f>Table4[[#This Row],[NG Cons (Low) MMBTU]]/1000/1000/365</f>
        <v>0</v>
      </c>
      <c r="N256" s="34">
        <f>Table4[[#This Row],[Capacity]]*36.58</f>
        <v>0</v>
      </c>
      <c r="O256" s="35">
        <f>Table4[[#This Row],[NG Cons (High) MMBTU]]/1000/1000/365</f>
        <v>0</v>
      </c>
      <c r="P256" s="6"/>
    </row>
    <row r="257" spans="1:16" ht="15.75" customHeight="1" x14ac:dyDescent="0.3">
      <c r="A257" s="29" t="s">
        <v>324</v>
      </c>
      <c r="B257" s="29" t="s">
        <v>325</v>
      </c>
      <c r="C257" s="30" t="str">
        <f>+RIGHT(Table4[[#This Row],[City]],2)</f>
        <v>LA</v>
      </c>
      <c r="D257" s="29" t="s">
        <v>172</v>
      </c>
      <c r="E257" s="37">
        <v>2015</v>
      </c>
      <c r="F257" s="29" t="s">
        <v>116</v>
      </c>
      <c r="G257" s="29" t="s">
        <v>1</v>
      </c>
      <c r="H257" s="38">
        <v>195000000</v>
      </c>
      <c r="I257" s="34">
        <v>15000</v>
      </c>
      <c r="J257" s="39" t="s">
        <v>76</v>
      </c>
      <c r="K257" s="40">
        <v>0.76</v>
      </c>
      <c r="L257" s="34">
        <f>Table4[[#This Row],[Capacity]]/10000*101/1000*365*1024*1000*Table4[[#This Row],[Utilization]]</f>
        <v>43034726.399999999</v>
      </c>
      <c r="M257" s="35">
        <f>Table4[[#This Row],[NG Cons (Low) MMBTU]]/1000/1000/365</f>
        <v>0.11790335999999998</v>
      </c>
      <c r="N257" s="34">
        <f>Table4[[#This Row],[Capacity]]*365*10*1024/875*Table4[[#This Row],[Utilization]]</f>
        <v>48695588.571428575</v>
      </c>
      <c r="O257" s="35">
        <f>Table4[[#This Row],[NG Cons (High) MMBTU]]/1000/1000/365</f>
        <v>0.13341257142857144</v>
      </c>
      <c r="P257" s="6"/>
    </row>
    <row r="258" spans="1:16" ht="15.75" customHeight="1" x14ac:dyDescent="0.3">
      <c r="A258" s="29" t="s">
        <v>377</v>
      </c>
      <c r="B258" s="29" t="s">
        <v>378</v>
      </c>
      <c r="C258" s="30" t="str">
        <f>+RIGHT(Table4[[#This Row],[City]],2)</f>
        <v>PA</v>
      </c>
      <c r="D258" s="29" t="s">
        <v>117</v>
      </c>
      <c r="E258" s="61"/>
      <c r="F258" s="29" t="s">
        <v>116</v>
      </c>
      <c r="G258" s="29" t="s">
        <v>1</v>
      </c>
      <c r="H258" s="38"/>
      <c r="I258" s="34"/>
      <c r="J258" s="32"/>
      <c r="K258" s="32"/>
      <c r="L258" s="34"/>
      <c r="M258" s="35"/>
      <c r="N258" s="34"/>
      <c r="O258" s="35"/>
      <c r="P258" s="6"/>
    </row>
    <row r="259" spans="1:16" ht="15.75" customHeight="1" x14ac:dyDescent="0.3">
      <c r="A259" s="29" t="s">
        <v>379</v>
      </c>
      <c r="B259" s="29" t="s">
        <v>43</v>
      </c>
      <c r="C259" s="30" t="str">
        <f>+RIGHT(Table4[[#This Row],[City]],2)</f>
        <v>LA</v>
      </c>
      <c r="D259" s="29" t="s">
        <v>98</v>
      </c>
      <c r="E259" s="17">
        <v>2018</v>
      </c>
      <c r="F259" s="29" t="s">
        <v>110</v>
      </c>
      <c r="G259" s="29" t="s">
        <v>1</v>
      </c>
      <c r="H259" s="38">
        <v>360000000</v>
      </c>
      <c r="I259" s="34">
        <v>500000</v>
      </c>
      <c r="J259" s="32" t="s">
        <v>38</v>
      </c>
      <c r="K259" s="40">
        <v>0.76</v>
      </c>
      <c r="L259" s="34">
        <f>Table4[[#This Row],[Capacity]]*31.968*Table4[[#This Row],[Utilization]]</f>
        <v>12147840</v>
      </c>
      <c r="M259" s="35">
        <f>Table4[[#This Row],[NG Cons (Low) MMBTU]]/1000/1000/365</f>
        <v>3.3281753424657536E-2</v>
      </c>
      <c r="N259" s="34">
        <f>Table4[[#This Row],[Capacity]]*32.634*Table4[[#This Row],[Utilization]]</f>
        <v>12400920</v>
      </c>
      <c r="O259" s="35">
        <f>Table4[[#This Row],[NG Cons (High) MMBTU]]/1000/1000/365</f>
        <v>3.397512328767123E-2</v>
      </c>
      <c r="P259" s="6"/>
    </row>
    <row r="260" spans="1:16" ht="15.75" customHeight="1" x14ac:dyDescent="0.3">
      <c r="A260" s="29" t="s">
        <v>239</v>
      </c>
      <c r="B260" s="39" t="s">
        <v>240</v>
      </c>
      <c r="C260" s="30" t="str">
        <f>+RIGHT(Table4[[#This Row],[City]],2)</f>
        <v>TX</v>
      </c>
      <c r="D260" s="29" t="s">
        <v>133</v>
      </c>
      <c r="E260" s="39">
        <v>2013</v>
      </c>
      <c r="F260" s="29" t="s">
        <v>69</v>
      </c>
      <c r="G260" s="39" t="s">
        <v>1</v>
      </c>
      <c r="H260" s="38">
        <v>150000000</v>
      </c>
      <c r="I260" s="34">
        <v>36400</v>
      </c>
      <c r="J260" s="39" t="s">
        <v>76</v>
      </c>
      <c r="K260" s="40">
        <v>0.76</v>
      </c>
      <c r="L260" s="34"/>
      <c r="M260" s="35">
        <f>Table4[[#This Row],[NG Cons (Low) MMBTU]]/1000/1000/365</f>
        <v>0</v>
      </c>
      <c r="N260" s="34"/>
      <c r="O260" s="35">
        <f>Table4[[#This Row],[NG Cons (High) MMBTU]]/1000/1000/365</f>
        <v>0</v>
      </c>
      <c r="P260" s="6"/>
    </row>
    <row r="261" spans="1:16" ht="15" customHeight="1" x14ac:dyDescent="0.3">
      <c r="A261" s="29" t="s">
        <v>138</v>
      </c>
      <c r="B261" s="29" t="s">
        <v>134</v>
      </c>
      <c r="C261" s="30" t="str">
        <f>+RIGHT(Table4[[#This Row],[City]],2)</f>
        <v>TX</v>
      </c>
      <c r="D261" s="29" t="s">
        <v>133</v>
      </c>
      <c r="E261" s="29">
        <v>2013</v>
      </c>
      <c r="F261" s="29" t="s">
        <v>69</v>
      </c>
      <c r="G261" s="29" t="s">
        <v>1</v>
      </c>
      <c r="H261" s="38">
        <v>360000000</v>
      </c>
      <c r="I261" s="34">
        <v>100000</v>
      </c>
      <c r="J261" s="39" t="s">
        <v>76</v>
      </c>
      <c r="K261" s="40">
        <v>0.76</v>
      </c>
      <c r="L261" s="34"/>
      <c r="M261" s="35">
        <f>Table4[[#This Row],[NG Cons (Low) MMBTU]]/1000/1000/365</f>
        <v>0</v>
      </c>
      <c r="N261" s="34"/>
      <c r="O261" s="35">
        <f>Table4[[#This Row],[NG Cons (High) MMBTU]]/1000/1000/365</f>
        <v>0</v>
      </c>
      <c r="P261" s="6"/>
    </row>
    <row r="262" spans="1:16" ht="15.75" customHeight="1" x14ac:dyDescent="0.3">
      <c r="A262" s="29" t="s">
        <v>323</v>
      </c>
      <c r="B262" s="29" t="s">
        <v>45</v>
      </c>
      <c r="C262" s="30" t="str">
        <f>+RIGHT(Table4[[#This Row],[City]],2)</f>
        <v>OH</v>
      </c>
      <c r="D262" s="29" t="s">
        <v>331</v>
      </c>
      <c r="E262" s="29">
        <v>2016</v>
      </c>
      <c r="F262" s="29" t="s">
        <v>84</v>
      </c>
      <c r="G262" s="29" t="s">
        <v>1</v>
      </c>
      <c r="H262" s="38">
        <v>40000000</v>
      </c>
      <c r="I262" s="34">
        <v>50000</v>
      </c>
      <c r="J262" s="39" t="s">
        <v>38</v>
      </c>
      <c r="K262" s="40">
        <v>0.8</v>
      </c>
      <c r="L262" s="34">
        <f>Table4[[#This Row],[Capacity]]*9.425*Table4[[#This Row],[Utilization]]</f>
        <v>377000.00000000006</v>
      </c>
      <c r="M262" s="35">
        <f>Table4[[#This Row],[NG Cons (Low) MMBTU]]/1000/1000/365</f>
        <v>1.0328767123287672E-3</v>
      </c>
      <c r="N262" s="34">
        <f>Table4[[#This Row],[Capacity]]*13*Table4[[#This Row],[Utilization]]</f>
        <v>520000</v>
      </c>
      <c r="O262" s="35">
        <f>Table4[[#This Row],[NG Cons (High) MMBTU]]/1000/1000/365</f>
        <v>1.4246575342465753E-3</v>
      </c>
      <c r="P262" s="6"/>
    </row>
    <row r="263" spans="1:16" ht="15.75" customHeight="1" x14ac:dyDescent="0.3">
      <c r="A263" s="29" t="s">
        <v>323</v>
      </c>
      <c r="B263" s="29" t="s">
        <v>45</v>
      </c>
      <c r="C263" s="30" t="str">
        <f>+RIGHT(Table4[[#This Row],[City]],2)</f>
        <v>OH</v>
      </c>
      <c r="D263" s="29" t="s">
        <v>331</v>
      </c>
      <c r="E263" s="29">
        <v>2014</v>
      </c>
      <c r="F263" s="29" t="s">
        <v>69</v>
      </c>
      <c r="G263" s="29" t="s">
        <v>5</v>
      </c>
      <c r="H263" s="38">
        <v>225000000</v>
      </c>
      <c r="I263" s="34">
        <v>175000</v>
      </c>
      <c r="J263" s="39" t="s">
        <v>38</v>
      </c>
      <c r="K263" s="40">
        <v>0.8</v>
      </c>
      <c r="L263" s="34">
        <f>Table4[[#This Row],[Capacity]]*9.425*Table4[[#This Row],[Utilization]]</f>
        <v>1319500.0000000002</v>
      </c>
      <c r="M263" s="35">
        <f>Table4[[#This Row],[NG Cons (Low) MMBTU]]/1000/1000/365</f>
        <v>3.6150684931506851E-3</v>
      </c>
      <c r="N263" s="34">
        <f>Table4[[#This Row],[Capacity]]*13*Table4[[#This Row],[Utilization]]</f>
        <v>1820000</v>
      </c>
      <c r="O263" s="35">
        <f>Table4[[#This Row],[NG Cons (High) MMBTU]]/1000/1000/365</f>
        <v>4.9863013698630138E-3</v>
      </c>
      <c r="P263" s="6"/>
    </row>
    <row r="264" spans="1:16" ht="15.75" customHeight="1" x14ac:dyDescent="0.3">
      <c r="A264" s="29" t="s">
        <v>344</v>
      </c>
      <c r="B264" s="29" t="s">
        <v>161</v>
      </c>
      <c r="C264" s="30" t="str">
        <f>+RIGHT(Table4[[#This Row],[City]],2)</f>
        <v>TX</v>
      </c>
      <c r="D264" s="29" t="s">
        <v>315</v>
      </c>
      <c r="E264" s="39">
        <v>2019</v>
      </c>
      <c r="F264" s="29" t="s">
        <v>89</v>
      </c>
      <c r="G264" s="29" t="s">
        <v>1</v>
      </c>
      <c r="H264" s="38">
        <v>2000000000</v>
      </c>
      <c r="I264" s="34">
        <v>1000000</v>
      </c>
      <c r="J264" s="39" t="s">
        <v>38</v>
      </c>
      <c r="K264" s="33">
        <v>0.76</v>
      </c>
      <c r="L264" s="34">
        <f>19.3*Table4[[#This Row],[Capacity]]*Table4[[#This Row],[Utilization]]</f>
        <v>14668000</v>
      </c>
      <c r="M264" s="35">
        <f>Table4[[#This Row],[NG Cons (Low) MMBTU]]/1000/1000/365</f>
        <v>4.0186301369863009E-2</v>
      </c>
      <c r="N264" s="34">
        <f>Table4[[#This Row],[Capacity]]*30.87*Table4[[#This Row],[Utilization]]</f>
        <v>23461200</v>
      </c>
      <c r="O264" s="35">
        <f>Table4[[#This Row],[NG Cons (High) MMBTU]]/1000/1000/365</f>
        <v>6.4277260273972611E-2</v>
      </c>
      <c r="P264" s="6"/>
    </row>
    <row r="265" spans="1:16" ht="15.75" customHeight="1" x14ac:dyDescent="0.3">
      <c r="A265" s="29" t="s">
        <v>204</v>
      </c>
      <c r="B265" s="29" t="s">
        <v>205</v>
      </c>
      <c r="C265" s="30" t="str">
        <f>+RIGHT(Table4[[#This Row],[City]],2)</f>
        <v>TX</v>
      </c>
      <c r="D265" s="29" t="s">
        <v>4</v>
      </c>
      <c r="E265" s="29">
        <v>2014</v>
      </c>
      <c r="F265" s="29" t="s">
        <v>89</v>
      </c>
      <c r="G265" s="29" t="s">
        <v>5</v>
      </c>
      <c r="H265" s="38"/>
      <c r="I265" s="34"/>
      <c r="J265" s="39"/>
      <c r="K265" s="40">
        <v>0.76</v>
      </c>
      <c r="L265" s="34"/>
      <c r="M265" s="35"/>
      <c r="N265" s="34"/>
      <c r="O265" s="35"/>
      <c r="P265" s="6"/>
    </row>
    <row r="266" spans="1:16" ht="15.75" customHeight="1" x14ac:dyDescent="0.3">
      <c r="A266" s="29" t="s">
        <v>54</v>
      </c>
      <c r="B266" s="29" t="s">
        <v>53</v>
      </c>
      <c r="C266" s="30" t="str">
        <f>+RIGHT(Table4[[#This Row],[City]],2)</f>
        <v>OH</v>
      </c>
      <c r="D266" s="29" t="s">
        <v>40</v>
      </c>
      <c r="E266" s="29">
        <v>2012</v>
      </c>
      <c r="F266" s="29" t="s">
        <v>247</v>
      </c>
      <c r="G266" s="29" t="s">
        <v>5</v>
      </c>
      <c r="H266" s="38">
        <v>650000000</v>
      </c>
      <c r="I266" s="34">
        <v>1200000</v>
      </c>
      <c r="J266" s="39" t="s">
        <v>38</v>
      </c>
      <c r="K266" s="40">
        <v>0.76</v>
      </c>
      <c r="L266" s="34">
        <f>Table4[[#This Row],[Capacity]]*2</f>
        <v>2400000</v>
      </c>
      <c r="M266" s="35">
        <f>Table4[[#This Row],[NG Cons (Low) MMBTU]]/1000/1000/365</f>
        <v>6.5753424657534242E-3</v>
      </c>
      <c r="N266" s="34">
        <f>Table4[[#This Row],[NG Cons (Low) MMBTU]]</f>
        <v>2400000</v>
      </c>
      <c r="O266" s="35">
        <f>Table4[[#This Row],[NG Cons (High) MMBTU]]/1000/1000/365</f>
        <v>6.5753424657534242E-3</v>
      </c>
      <c r="P266" s="6"/>
    </row>
    <row r="267" spans="1:16" ht="15.75" customHeight="1" x14ac:dyDescent="0.3">
      <c r="A267" s="29" t="s">
        <v>54</v>
      </c>
      <c r="B267" s="29" t="s">
        <v>318</v>
      </c>
      <c r="C267" s="30" t="str">
        <f>+RIGHT(Table4[[#This Row],[City]],2)</f>
        <v>PA</v>
      </c>
      <c r="D267" s="29" t="s">
        <v>40</v>
      </c>
      <c r="E267" s="37" t="s">
        <v>37</v>
      </c>
      <c r="F267" s="29" t="s">
        <v>84</v>
      </c>
      <c r="G267" s="29" t="s">
        <v>5</v>
      </c>
      <c r="H267" s="38">
        <v>187000000</v>
      </c>
      <c r="I267" s="34"/>
      <c r="J267" s="39"/>
      <c r="K267" s="40">
        <v>0.76</v>
      </c>
      <c r="L267" s="34"/>
      <c r="M267" s="35"/>
      <c r="N267" s="34"/>
      <c r="O267" s="35">
        <f>Table4[[#This Row],[NG Cons (High) MMBTU]]/1000/1000/365</f>
        <v>0</v>
      </c>
      <c r="P267" s="6"/>
    </row>
    <row r="268" spans="1:16" ht="15.75" customHeight="1" x14ac:dyDescent="0.3">
      <c r="A268" s="29" t="s">
        <v>354</v>
      </c>
      <c r="B268" s="60" t="s">
        <v>327</v>
      </c>
      <c r="C268" s="30" t="str">
        <f>+RIGHT(Table4[[#This Row],[City]],2)</f>
        <v>WY</v>
      </c>
      <c r="D268" s="29" t="s">
        <v>78</v>
      </c>
      <c r="E268" s="37"/>
      <c r="F268" s="29" t="s">
        <v>116</v>
      </c>
      <c r="G268" s="29" t="s">
        <v>1</v>
      </c>
      <c r="H268" s="38">
        <v>900000000</v>
      </c>
      <c r="I268" s="34">
        <v>15000</v>
      </c>
      <c r="J268" s="39" t="s">
        <v>76</v>
      </c>
      <c r="K268" s="40">
        <v>0.76</v>
      </c>
      <c r="L268" s="34">
        <f>Table4[[#This Row],[Capacity]]/10000*101/1000*365*1024*1000*Table4[[#This Row],[Utilization]]</f>
        <v>43034726.399999999</v>
      </c>
      <c r="M268" s="35">
        <f>Table4[[#This Row],[NG Cons (Low) MMBTU]]/1000/1000/365</f>
        <v>0.11790335999999998</v>
      </c>
      <c r="N268" s="34">
        <f>Table4[[#This Row],[Capacity]]*365*10*1024/875*Table4[[#This Row],[Utilization]]</f>
        <v>48695588.571428575</v>
      </c>
      <c r="O268" s="35">
        <f>Table4[[#This Row],[NG Cons (High) MMBTU]]/1000/1000/365</f>
        <v>0.13341257142857144</v>
      </c>
      <c r="P268" s="6"/>
    </row>
    <row r="269" spans="1:16" ht="15.75" customHeight="1" x14ac:dyDescent="0.3">
      <c r="A269" s="29" t="s">
        <v>380</v>
      </c>
      <c r="B269" s="29" t="s">
        <v>381</v>
      </c>
      <c r="C269" s="30" t="str">
        <f>+RIGHT(Table4[[#This Row],[City]],2)</f>
        <v>WV</v>
      </c>
      <c r="D269" s="29" t="s">
        <v>98</v>
      </c>
      <c r="E269" s="39"/>
      <c r="F269" s="29" t="s">
        <v>116</v>
      </c>
      <c r="G269" s="29" t="s">
        <v>1</v>
      </c>
      <c r="H269" s="38"/>
      <c r="I269" s="34"/>
      <c r="J269" s="39"/>
      <c r="K269" s="33"/>
      <c r="L269" s="34"/>
      <c r="M269" s="35"/>
      <c r="N269" s="34"/>
      <c r="O269" s="35"/>
      <c r="P269" s="6"/>
    </row>
    <row r="270" spans="1:16" ht="15.75" customHeight="1" x14ac:dyDescent="0.3">
      <c r="A270" s="29" t="s">
        <v>156</v>
      </c>
      <c r="B270" s="29" t="s">
        <v>305</v>
      </c>
      <c r="C270" s="30" t="str">
        <f>+RIGHT(Table4[[#This Row],[City]],2)</f>
        <v>TN</v>
      </c>
      <c r="D270" s="29" t="s">
        <v>312</v>
      </c>
      <c r="E270" s="29">
        <v>2016</v>
      </c>
      <c r="F270" s="29" t="s">
        <v>69</v>
      </c>
      <c r="G270" s="29" t="s">
        <v>1</v>
      </c>
      <c r="H270" s="38">
        <v>237500000</v>
      </c>
      <c r="I270" s="34">
        <f>420/1.1*365*0.425</f>
        <v>59229.545454545449</v>
      </c>
      <c r="J270" s="39" t="s">
        <v>38</v>
      </c>
      <c r="K270" s="40">
        <v>0.76</v>
      </c>
      <c r="L270" s="34">
        <f>Table4[[#This Row],[Capacity]]*30.87*Table4[[#This Row],[Utilization]]</f>
        <v>1389596.2118181817</v>
      </c>
      <c r="M270" s="35">
        <f>Table4[[#This Row],[NG Cons (Low) MMBTU]]/1000/1000/365</f>
        <v>3.807112909090909E-3</v>
      </c>
      <c r="N270" s="34">
        <f>Table4[[#This Row],[Capacity]]*36.58</f>
        <v>2166616.7727272725</v>
      </c>
      <c r="O270" s="35">
        <f>Table4[[#This Row],[NG Cons (High) MMBTU]]/1000/1000/365</f>
        <v>5.9359363636363625E-3</v>
      </c>
      <c r="P270" s="6"/>
    </row>
    <row r="271" spans="1:16" ht="15.75" customHeight="1" x14ac:dyDescent="0.3">
      <c r="A271" s="29" t="s">
        <v>159</v>
      </c>
      <c r="B271" s="29" t="s">
        <v>41</v>
      </c>
      <c r="C271" s="30" t="str">
        <f>+RIGHT(Table4[[#This Row],[City]],2)</f>
        <v>OH</v>
      </c>
      <c r="D271" s="29" t="s">
        <v>40</v>
      </c>
      <c r="E271" s="37">
        <v>2012</v>
      </c>
      <c r="F271" s="29" t="s">
        <v>247</v>
      </c>
      <c r="G271" s="29" t="s">
        <v>1</v>
      </c>
      <c r="H271" s="38">
        <v>1100000000</v>
      </c>
      <c r="I271" s="34">
        <v>500000</v>
      </c>
      <c r="J271" s="39" t="s">
        <v>38</v>
      </c>
      <c r="K271" s="40">
        <v>0.76</v>
      </c>
      <c r="L271" s="34">
        <f>Table4[[#This Row],[Capacity]]*2</f>
        <v>1000000</v>
      </c>
      <c r="M271" s="35">
        <f>Table4[[#This Row],[NG Cons (Low) MMBTU]]/1000/1000/365</f>
        <v>2.7397260273972603E-3</v>
      </c>
      <c r="N271" s="34">
        <f>Table4[[#This Row],[NG Cons (Low) MMBTU]]</f>
        <v>1000000</v>
      </c>
      <c r="O271" s="35">
        <f>Table4[[#This Row],[NG Cons (High) MMBTU]]/1000/1000/365</f>
        <v>2.7397260273972603E-3</v>
      </c>
      <c r="P271" s="6"/>
    </row>
    <row r="272" spans="1:16" ht="15.75" customHeight="1" x14ac:dyDescent="0.3">
      <c r="A272" s="29" t="s">
        <v>97</v>
      </c>
      <c r="B272" s="29" t="s">
        <v>96</v>
      </c>
      <c r="C272" s="30" t="str">
        <f>+RIGHT(Table4[[#This Row],[City]],2)</f>
        <v>LA</v>
      </c>
      <c r="D272" s="29" t="s">
        <v>98</v>
      </c>
      <c r="E272" s="29">
        <v>2018</v>
      </c>
      <c r="F272" s="29" t="s">
        <v>84</v>
      </c>
      <c r="G272" s="29" t="s">
        <v>1</v>
      </c>
      <c r="H272" s="38">
        <v>700000000</v>
      </c>
      <c r="I272" s="34">
        <v>1600000</v>
      </c>
      <c r="J272" s="39" t="s">
        <v>38</v>
      </c>
      <c r="K272" s="40">
        <v>0.76</v>
      </c>
      <c r="L272" s="34">
        <f>Table4[[#This Row],[Capacity]]*31.968*Table4[[#This Row],[Utilization]]</f>
        <v>38873088</v>
      </c>
      <c r="M272" s="35">
        <f>Table4[[#This Row],[NG Cons (Low) MMBTU]]/1000/1000/365</f>
        <v>0.10650161095890412</v>
      </c>
      <c r="N272" s="34">
        <f>Table4[[#This Row],[Capacity]]*32.634*Table4[[#This Row],[Utilization]]</f>
        <v>39682944</v>
      </c>
      <c r="O272" s="35">
        <f>Table4[[#This Row],[NG Cons (High) MMBTU]]/1000/1000/365</f>
        <v>0.10872039452054796</v>
      </c>
      <c r="P272" s="6"/>
    </row>
    <row r="273" spans="1:17" ht="15.75" customHeight="1" x14ac:dyDescent="0.3">
      <c r="A273" s="29" t="s">
        <v>326</v>
      </c>
      <c r="B273" s="60" t="s">
        <v>260</v>
      </c>
      <c r="C273" s="30" t="str">
        <f>+RIGHT(Table4[[#This Row],[City]],2)</f>
        <v>OH</v>
      </c>
      <c r="D273" s="29" t="s">
        <v>78</v>
      </c>
      <c r="E273" s="37">
        <v>2016</v>
      </c>
      <c r="F273" s="29" t="s">
        <v>253</v>
      </c>
      <c r="G273" s="29" t="s">
        <v>1</v>
      </c>
      <c r="H273" s="38">
        <v>200000000</v>
      </c>
      <c r="I273" s="34">
        <v>2800</v>
      </c>
      <c r="J273" s="39" t="s">
        <v>76</v>
      </c>
      <c r="K273" s="40">
        <v>0.76</v>
      </c>
      <c r="L273" s="34">
        <f>Table4[[#This Row],[Capacity]]/10000*101/1000*365*1024*1000*Table4[[#This Row],[Utilization]]</f>
        <v>8033148.9280000003</v>
      </c>
      <c r="M273" s="35">
        <f>Table4[[#This Row],[NG Cons (Low) MMBTU]]/1000/1000/365</f>
        <v>2.2008627200000002E-2</v>
      </c>
      <c r="N273" s="34">
        <f>Table4[[#This Row],[Capacity]]*365*10*1024/875*Table4[[#This Row],[Utilization]]</f>
        <v>9089843.1999999993</v>
      </c>
      <c r="O273" s="35">
        <f>Table4[[#This Row],[NG Cons (High) MMBTU]]/1000/1000/365</f>
        <v>2.4903679999999997E-2</v>
      </c>
      <c r="P273" s="6"/>
    </row>
    <row r="274" spans="1:17" ht="15.75" customHeight="1" x14ac:dyDescent="0.3">
      <c r="A274" s="29" t="s">
        <v>39</v>
      </c>
      <c r="B274" s="29" t="s">
        <v>36</v>
      </c>
      <c r="C274" s="30" t="str">
        <f>+RIGHT(Table4[[#This Row],[City]],2)</f>
        <v>AK</v>
      </c>
      <c r="D274" s="29" t="s">
        <v>40</v>
      </c>
      <c r="E274" s="37">
        <v>2012</v>
      </c>
      <c r="F274" s="29" t="s">
        <v>247</v>
      </c>
      <c r="G274" s="29" t="s">
        <v>1</v>
      </c>
      <c r="H274" s="38">
        <v>100000000</v>
      </c>
      <c r="I274" s="34">
        <v>200000</v>
      </c>
      <c r="J274" s="39" t="s">
        <v>38</v>
      </c>
      <c r="K274" s="40">
        <v>0.76</v>
      </c>
      <c r="L274" s="34">
        <f>Table4[[#This Row],[Capacity]]*2</f>
        <v>400000</v>
      </c>
      <c r="M274" s="35">
        <f>Table4[[#This Row],[NG Cons (Low) MMBTU]]/1000/1000/365</f>
        <v>1.0958904109589042E-3</v>
      </c>
      <c r="N274" s="34">
        <f>Table4[[#This Row],[NG Cons (Low) MMBTU]]</f>
        <v>400000</v>
      </c>
      <c r="O274" s="35">
        <f>Table4[[#This Row],[NG Cons (High) MMBTU]]/1000/1000/365</f>
        <v>1.0958904109589042E-3</v>
      </c>
      <c r="P274" s="6"/>
    </row>
    <row r="275" spans="1:17" ht="15.75" customHeight="1" x14ac:dyDescent="0.3">
      <c r="A275" s="29" t="s">
        <v>129</v>
      </c>
      <c r="B275" s="29" t="s">
        <v>79</v>
      </c>
      <c r="C275" s="30" t="str">
        <f>+RIGHT(Table4[[#This Row],[City]],2)</f>
        <v>LA</v>
      </c>
      <c r="D275" s="29" t="s">
        <v>315</v>
      </c>
      <c r="E275" s="29">
        <v>2014</v>
      </c>
      <c r="F275" s="29" t="s">
        <v>69</v>
      </c>
      <c r="G275" s="29" t="s">
        <v>5</v>
      </c>
      <c r="H275" s="38">
        <v>245250000</v>
      </c>
      <c r="I275" s="34">
        <v>90718</v>
      </c>
      <c r="J275" s="39" t="s">
        <v>38</v>
      </c>
      <c r="K275" s="40">
        <v>0.76</v>
      </c>
      <c r="L275" s="34">
        <f>19.3*Table4[[#This Row],[Capacity]]*Table4[[#This Row],[Utilization]]</f>
        <v>1330651.6240000001</v>
      </c>
      <c r="M275" s="35">
        <f>Table4[[#This Row],[NG Cons (Low) MMBTU]]/1000/1000/365</f>
        <v>3.6456208876712334E-3</v>
      </c>
      <c r="N275" s="34">
        <f>Table4[[#This Row],[Capacity]]*30.87*Table4[[#This Row],[Utilization]]</f>
        <v>2128353.1416000002</v>
      </c>
      <c r="O275" s="35">
        <f>Table4[[#This Row],[NG Cons (High) MMBTU]]/1000/1000/365</f>
        <v>5.8311044975342466E-3</v>
      </c>
      <c r="P275" s="6"/>
    </row>
    <row r="276" spans="1:17" s="16" customFormat="1" ht="15.75" customHeight="1" x14ac:dyDescent="0.3">
      <c r="A276" s="29" t="s">
        <v>129</v>
      </c>
      <c r="B276" s="29" t="s">
        <v>382</v>
      </c>
      <c r="C276" s="30" t="str">
        <f>+RIGHT(Table4[[#This Row],[City]],2)</f>
        <v>LA</v>
      </c>
      <c r="D276" s="29" t="s">
        <v>315</v>
      </c>
      <c r="E276" s="39">
        <v>2016</v>
      </c>
      <c r="F276" s="29" t="s">
        <v>0</v>
      </c>
      <c r="G276" s="29" t="s">
        <v>5</v>
      </c>
      <c r="H276" s="38">
        <v>330000000</v>
      </c>
      <c r="I276" s="34">
        <v>113398.0925</v>
      </c>
      <c r="J276" s="39" t="s">
        <v>38</v>
      </c>
      <c r="K276" s="40">
        <v>0.76</v>
      </c>
      <c r="L276" s="34">
        <f>19.3*Table4[[#This Row],[Capacity]]*Table4[[#This Row],[Utilization]]</f>
        <v>1663323.2207900002</v>
      </c>
      <c r="M276" s="35">
        <f>Table4[[#This Row],[NG Cons (Low) MMBTU]]/1000/1000/365</f>
        <v>4.557049919972603E-3</v>
      </c>
      <c r="N276" s="34">
        <f>Table4[[#This Row],[Capacity]]*30.87*Table4[[#This Row],[Utilization]]</f>
        <v>2660455.327761</v>
      </c>
      <c r="O276" s="35">
        <f>Table4[[#This Row],[NG Cons (High) MMBTU]]/1000/1000/365</f>
        <v>7.2889187061945205E-3</v>
      </c>
    </row>
    <row r="277" spans="1:17" ht="15.75" customHeight="1" x14ac:dyDescent="0.3">
      <c r="A277" s="29" t="s">
        <v>129</v>
      </c>
      <c r="B277" s="29" t="s">
        <v>2</v>
      </c>
      <c r="C277" s="30" t="str">
        <f>+RIGHT(Table4[[#This Row],[City]],2)</f>
        <v>LA</v>
      </c>
      <c r="D277" s="29" t="s">
        <v>67</v>
      </c>
      <c r="E277" s="29">
        <v>2014</v>
      </c>
      <c r="F277" s="29" t="s">
        <v>69</v>
      </c>
      <c r="G277" s="29" t="s">
        <v>1</v>
      </c>
      <c r="H277" s="38">
        <v>425000000</v>
      </c>
      <c r="I277" s="34">
        <v>735000</v>
      </c>
      <c r="J277" s="29" t="s">
        <v>38</v>
      </c>
      <c r="K277" s="40">
        <v>0.76</v>
      </c>
      <c r="L277" s="34">
        <f>Table4[[#This Row],[Capacity]]*6*Table4[[#This Row],[Utilization]]</f>
        <v>3351600</v>
      </c>
      <c r="M277" s="35">
        <f>Table4[[#This Row],[NG Cons (Low) MMBTU]]/1000/1000/365</f>
        <v>9.1824657534246568E-3</v>
      </c>
      <c r="N277" s="34">
        <f>Table4[[#This Row],[NG Cons (Low) MMBTU]]</f>
        <v>3351600</v>
      </c>
      <c r="O277" s="35">
        <f>Table4[[#This Row],[NG Cons (High) MMBTU]]/1000/1000/365</f>
        <v>9.1824657534246568E-3</v>
      </c>
      <c r="P277" s="6"/>
    </row>
    <row r="278" spans="1:17" s="18" customFormat="1" ht="15.75" customHeight="1" x14ac:dyDescent="0.3">
      <c r="A278" s="29" t="s">
        <v>129</v>
      </c>
      <c r="B278" s="29" t="s">
        <v>79</v>
      </c>
      <c r="C278" s="30" t="str">
        <f>+RIGHT(Table4[[#This Row],[City]],2)</f>
        <v>LA</v>
      </c>
      <c r="D278" s="29" t="s">
        <v>315</v>
      </c>
      <c r="E278" s="29">
        <v>2017</v>
      </c>
      <c r="F278" s="29" t="s">
        <v>0</v>
      </c>
      <c r="G278" s="29" t="s">
        <v>5</v>
      </c>
      <c r="H278" s="38">
        <v>350000000</v>
      </c>
      <c r="I278" s="34">
        <v>113398.0925</v>
      </c>
      <c r="J278" s="39" t="s">
        <v>38</v>
      </c>
      <c r="K278" s="40">
        <v>0.76</v>
      </c>
      <c r="L278" s="34">
        <f>19.3*Table4[[#This Row],[Capacity]]*Table4[[#This Row],[Utilization]]</f>
        <v>1663323.2207900002</v>
      </c>
      <c r="M278" s="35">
        <f>Table4[[#This Row],[NG Cons (Low) MMBTU]]/1000/1000/365</f>
        <v>4.557049919972603E-3</v>
      </c>
      <c r="N278" s="34">
        <f>Table4[[#This Row],[Capacity]]*30.87*Table4[[#This Row],[Utilization]]</f>
        <v>2660455.327761</v>
      </c>
      <c r="O278" s="35">
        <f>Table4[[#This Row],[NG Cons (High) MMBTU]]/1000/1000/365</f>
        <v>7.2889187061945205E-3</v>
      </c>
    </row>
    <row r="279" spans="1:17" s="18" customFormat="1" ht="15.75" customHeight="1" x14ac:dyDescent="0.3">
      <c r="A279" s="29" t="s">
        <v>129</v>
      </c>
      <c r="B279" s="29" t="s">
        <v>14</v>
      </c>
      <c r="C279" s="30" t="str">
        <f>+RIGHT(Table4[[#This Row],[City]],2)</f>
        <v>KY</v>
      </c>
      <c r="D279" s="29" t="s">
        <v>315</v>
      </c>
      <c r="E279" s="29">
        <v>2017</v>
      </c>
      <c r="F279" s="29" t="s">
        <v>0</v>
      </c>
      <c r="G279" s="29" t="s">
        <v>5</v>
      </c>
      <c r="H279" s="38">
        <v>75000000</v>
      </c>
      <c r="I279" s="34">
        <v>31751.465899999999</v>
      </c>
      <c r="J279" s="39" t="s">
        <v>38</v>
      </c>
      <c r="K279" s="40">
        <v>0.76</v>
      </c>
      <c r="L279" s="34">
        <f>19.3*Table4[[#This Row],[Capacity]]*Table4[[#This Row],[Utilization]]</f>
        <v>465730.50182119996</v>
      </c>
      <c r="M279" s="35">
        <f>Table4[[#This Row],[NG Cons (Low) MMBTU]]/1000/1000/365</f>
        <v>1.2759739775923286E-3</v>
      </c>
      <c r="N279" s="34">
        <f>Table4[[#This Row],[Capacity]]*30.87*Table4[[#This Row],[Utilization]]</f>
        <v>744927.49177307996</v>
      </c>
      <c r="O279" s="35">
        <f>Table4[[#This Row],[NG Cons (High) MMBTU]]/1000/1000/365</f>
        <v>2.0408972377344656E-3</v>
      </c>
    </row>
    <row r="280" spans="1:17" ht="15.75" customHeight="1" x14ac:dyDescent="0.3">
      <c r="A280" s="29" t="s">
        <v>130</v>
      </c>
      <c r="B280" s="29" t="s">
        <v>2</v>
      </c>
      <c r="C280" s="30" t="str">
        <f>+RIGHT(Table4[[#This Row],[City]],2)</f>
        <v>LA</v>
      </c>
      <c r="D280" s="29" t="s">
        <v>315</v>
      </c>
      <c r="E280" s="29">
        <v>2014</v>
      </c>
      <c r="F280" s="29" t="s">
        <v>69</v>
      </c>
      <c r="G280" s="29" t="s">
        <v>5</v>
      </c>
      <c r="H280" s="29">
        <v>375000000</v>
      </c>
      <c r="I280" s="34">
        <v>280000</v>
      </c>
      <c r="J280" s="38" t="s">
        <v>38</v>
      </c>
      <c r="K280" s="34">
        <v>0.76</v>
      </c>
      <c r="L280" s="62">
        <f>19.3*Table4[[#This Row],[Capacity]]*Table4[[#This Row],[Utilization]]</f>
        <v>4107040</v>
      </c>
      <c r="M280" s="34">
        <f>Table4[[#This Row],[NG Cons (Low) MMBTU]]/1000/1000/365</f>
        <v>1.1252164383561643E-2</v>
      </c>
      <c r="N280" s="63">
        <f>Table4[[#This Row],[Capacity]]*30.87*Table4[[#This Row],[Utilization]]</f>
        <v>6569136</v>
      </c>
      <c r="O280" s="34">
        <f>Table4[[#This Row],[NG Cons (High) MMBTU]]/1000/1000/365</f>
        <v>1.7997632876712331E-2</v>
      </c>
      <c r="P280" s="6"/>
    </row>
    <row r="281" spans="1:17" ht="15.75" customHeight="1" x14ac:dyDescent="0.3">
      <c r="A281" s="29" t="s">
        <v>130</v>
      </c>
      <c r="B281" s="29" t="s">
        <v>409</v>
      </c>
      <c r="C281" s="30" t="s">
        <v>408</v>
      </c>
      <c r="D281" s="29" t="s">
        <v>133</v>
      </c>
      <c r="E281" s="29">
        <v>2012</v>
      </c>
      <c r="F281" s="29" t="s">
        <v>247</v>
      </c>
      <c r="G281" s="29" t="s">
        <v>131</v>
      </c>
      <c r="H281" s="38" t="s">
        <v>105</v>
      </c>
      <c r="I281" s="34">
        <v>30000</v>
      </c>
      <c r="J281" s="39" t="s">
        <v>76</v>
      </c>
      <c r="K281" s="40">
        <v>0.76</v>
      </c>
      <c r="L281" s="34"/>
      <c r="M281" s="35">
        <f>Table4[[#This Row],[NG Cons (Low) MMBTU]]/1000/1000/365</f>
        <v>0</v>
      </c>
      <c r="N281" s="34"/>
      <c r="O281" s="35">
        <f>Table4[[#This Row],[NG Cons (High) MMBTU]]/1000/1000/365</f>
        <v>0</v>
      </c>
      <c r="P281" s="6"/>
    </row>
    <row r="282" spans="1:17" ht="15.75" customHeight="1" x14ac:dyDescent="0.3">
      <c r="A282" s="29" t="s">
        <v>130</v>
      </c>
      <c r="B282" s="29" t="s">
        <v>132</v>
      </c>
      <c r="C282" s="30" t="s">
        <v>408</v>
      </c>
      <c r="D282" s="29" t="s">
        <v>133</v>
      </c>
      <c r="E282" s="37">
        <v>2013</v>
      </c>
      <c r="F282" s="29" t="s">
        <v>69</v>
      </c>
      <c r="G282" s="29" t="s">
        <v>131</v>
      </c>
      <c r="H282" s="38" t="s">
        <v>105</v>
      </c>
      <c r="I282" s="34">
        <v>20000</v>
      </c>
      <c r="J282" s="39" t="s">
        <v>76</v>
      </c>
      <c r="K282" s="40">
        <v>0.76</v>
      </c>
      <c r="L282" s="34"/>
      <c r="M282" s="35">
        <f>Table4[[#This Row],[NG Cons (Low) MMBTU]]/1000/1000/365</f>
        <v>0</v>
      </c>
      <c r="N282" s="34"/>
      <c r="O282" s="35">
        <f>Table4[[#This Row],[NG Cons (High) MMBTU]]/1000/1000/365</f>
        <v>0</v>
      </c>
      <c r="P282" s="6"/>
    </row>
    <row r="283" spans="1:17" ht="15.75" customHeight="1" x14ac:dyDescent="0.3">
      <c r="A283" s="29" t="s">
        <v>130</v>
      </c>
      <c r="B283" s="29" t="s">
        <v>143</v>
      </c>
      <c r="C283" s="30" t="s">
        <v>408</v>
      </c>
      <c r="D283" s="29" t="s">
        <v>133</v>
      </c>
      <c r="E283" s="29">
        <v>2013</v>
      </c>
      <c r="F283" s="29" t="s">
        <v>69</v>
      </c>
      <c r="G283" s="29" t="s">
        <v>131</v>
      </c>
      <c r="H283" s="38" t="s">
        <v>105</v>
      </c>
      <c r="I283" s="34">
        <v>30000</v>
      </c>
      <c r="J283" s="39" t="s">
        <v>76</v>
      </c>
      <c r="K283" s="40">
        <v>0.76</v>
      </c>
      <c r="L283" s="34"/>
      <c r="M283" s="35">
        <f>Table4[[#This Row],[NG Cons (Low) MMBTU]]/1000/1000/365</f>
        <v>0</v>
      </c>
      <c r="N283" s="34"/>
      <c r="O283" s="35">
        <f>Table4[[#This Row],[NG Cons (High) MMBTU]]/1000/1000/365</f>
        <v>0</v>
      </c>
      <c r="P283" s="15"/>
      <c r="Q283" s="25"/>
    </row>
    <row r="284" spans="1:17" ht="15.75" customHeight="1" x14ac:dyDescent="0.3">
      <c r="A284" s="29" t="s">
        <v>130</v>
      </c>
      <c r="B284" s="29" t="s">
        <v>144</v>
      </c>
      <c r="C284" s="64" t="s">
        <v>408</v>
      </c>
      <c r="D284" s="29" t="s">
        <v>133</v>
      </c>
      <c r="E284" s="29">
        <v>2013</v>
      </c>
      <c r="F284" s="29" t="s">
        <v>69</v>
      </c>
      <c r="G284" s="29" t="s">
        <v>131</v>
      </c>
      <c r="H284" s="38" t="s">
        <v>105</v>
      </c>
      <c r="I284" s="34">
        <v>30000</v>
      </c>
      <c r="J284" s="39" t="s">
        <v>76</v>
      </c>
      <c r="K284" s="40">
        <v>0.76</v>
      </c>
      <c r="L284" s="34"/>
      <c r="M284" s="35">
        <f>Table4[[#This Row],[NG Cons (Low) MMBTU]]/1000/1000/365</f>
        <v>0</v>
      </c>
      <c r="N284" s="34"/>
      <c r="O284" s="35">
        <f>Table4[[#This Row],[NG Cons (High) MMBTU]]/1000/1000/365</f>
        <v>0</v>
      </c>
      <c r="P284" s="6"/>
    </row>
    <row r="285" spans="1:17" ht="15.75" customHeight="1" x14ac:dyDescent="0.3">
      <c r="A285" s="29" t="s">
        <v>130</v>
      </c>
      <c r="B285" s="29" t="s">
        <v>149</v>
      </c>
      <c r="C285" s="30" t="s">
        <v>408</v>
      </c>
      <c r="D285" s="29" t="s">
        <v>133</v>
      </c>
      <c r="E285" s="29">
        <v>2012</v>
      </c>
      <c r="F285" s="29" t="s">
        <v>247</v>
      </c>
      <c r="G285" s="29" t="s">
        <v>131</v>
      </c>
      <c r="H285" s="38">
        <v>1340000000</v>
      </c>
      <c r="I285" s="34">
        <v>12500</v>
      </c>
      <c r="J285" s="39" t="s">
        <v>76</v>
      </c>
      <c r="K285" s="40">
        <v>0.76</v>
      </c>
      <c r="L285" s="34"/>
      <c r="M285" s="35">
        <f>Table4[[#This Row],[NG Cons (Low) MMBTU]]/1000/1000/365</f>
        <v>0</v>
      </c>
      <c r="N285" s="34"/>
      <c r="O285" s="35">
        <f>Table4[[#This Row],[NG Cons (High) MMBTU]]/1000/1000/365</f>
        <v>0</v>
      </c>
      <c r="P285" s="6"/>
    </row>
    <row r="286" spans="1:17" ht="15.75" customHeight="1" x14ac:dyDescent="0.3">
      <c r="A286" s="29" t="s">
        <v>345</v>
      </c>
      <c r="B286" s="29" t="s">
        <v>43</v>
      </c>
      <c r="C286" s="30" t="str">
        <f>+RIGHT(Table4[[#This Row],[City]],2)</f>
        <v>LA</v>
      </c>
      <c r="D286" s="29" t="s">
        <v>98</v>
      </c>
      <c r="E286" s="39">
        <v>2018</v>
      </c>
      <c r="F286" s="29" t="s">
        <v>0</v>
      </c>
      <c r="G286" s="29" t="s">
        <v>1</v>
      </c>
      <c r="H286" s="38">
        <v>1850000000</v>
      </c>
      <c r="I286" s="34">
        <v>3000000</v>
      </c>
      <c r="J286" s="39" t="s">
        <v>38</v>
      </c>
      <c r="K286" s="33">
        <v>0.76</v>
      </c>
      <c r="L286" s="34">
        <f>Table4[[#This Row],[Capacity]]*31.968*Table4[[#This Row],[Utilization]]</f>
        <v>72887040</v>
      </c>
      <c r="M286" s="35">
        <f>Table4[[#This Row],[NG Cons (Low) MMBTU]]/1000/1000/365</f>
        <v>0.1996905205479452</v>
      </c>
      <c r="N286" s="34">
        <f>Table4[[#This Row],[Capacity]]*32.634*Table4[[#This Row],[Utilization]]</f>
        <v>74405520</v>
      </c>
      <c r="O286" s="35">
        <f>Table4[[#This Row],[NG Cons (High) MMBTU]]/1000/1000/365</f>
        <v>0.20385073972602744</v>
      </c>
      <c r="P286" s="6"/>
    </row>
    <row r="287" spans="1:17" ht="15.75" customHeight="1" x14ac:dyDescent="0.3">
      <c r="A287" s="29" t="s">
        <v>383</v>
      </c>
      <c r="B287" s="29" t="s">
        <v>364</v>
      </c>
      <c r="C287" s="30" t="str">
        <f>+RIGHT(Table4[[#This Row],[City]],2)</f>
        <v>TX</v>
      </c>
      <c r="D287" s="29" t="s">
        <v>98</v>
      </c>
      <c r="E287" s="39"/>
      <c r="F287" s="29" t="s">
        <v>116</v>
      </c>
      <c r="G287" s="29" t="s">
        <v>1</v>
      </c>
      <c r="H287" s="38">
        <v>1200000000</v>
      </c>
      <c r="I287" s="34">
        <v>1800000</v>
      </c>
      <c r="J287" s="39" t="s">
        <v>38</v>
      </c>
      <c r="K287" s="33">
        <v>0.76</v>
      </c>
      <c r="L287" s="34">
        <f>Table4[[#This Row],[Capacity]]*31.968*Table4[[#This Row],[Utilization]]</f>
        <v>43732224</v>
      </c>
      <c r="M287" s="35">
        <f>Table4[[#This Row],[NG Cons (Low) MMBTU]]/1000/1000/365</f>
        <v>0.11981431232876713</v>
      </c>
      <c r="N287" s="34">
        <f>Table4[[#This Row],[Capacity]]*32.634*Table4[[#This Row],[Utilization]]</f>
        <v>44643312</v>
      </c>
      <c r="O287" s="35">
        <f>Table4[[#This Row],[NG Cons (High) MMBTU]]/1000/1000/365</f>
        <v>0.12231044383561643</v>
      </c>
      <c r="P287" s="6"/>
    </row>
    <row r="288" spans="1:17" x14ac:dyDescent="0.3">
      <c r="A288" s="6"/>
      <c r="B288" s="13"/>
      <c r="D288" s="6"/>
      <c r="E288" s="6"/>
      <c r="F288" s="6"/>
      <c r="G288" s="6"/>
      <c r="H288"/>
      <c r="I288" s="19"/>
      <c r="J288" s="6"/>
      <c r="K288" s="20"/>
      <c r="L288" s="19"/>
      <c r="M288" s="6"/>
      <c r="N288" s="19"/>
      <c r="O288" s="6"/>
    </row>
    <row r="289" spans="1:15" x14ac:dyDescent="0.3">
      <c r="A289" s="6"/>
      <c r="B289" s="13"/>
      <c r="D289" s="6"/>
      <c r="E289" s="6"/>
      <c r="F289" s="6"/>
      <c r="G289" s="6"/>
      <c r="H289"/>
      <c r="I289" s="19"/>
      <c r="J289" s="6"/>
      <c r="K289" s="20"/>
      <c r="L289" s="19"/>
      <c r="M289" s="6"/>
      <c r="N289" s="19"/>
      <c r="O289" s="6"/>
    </row>
    <row r="290" spans="1:15" x14ac:dyDescent="0.3">
      <c r="A290" s="6"/>
      <c r="B290" s="13"/>
      <c r="D290" s="6"/>
      <c r="E290" s="6"/>
      <c r="F290" s="6"/>
      <c r="G290" s="6"/>
      <c r="H290"/>
      <c r="I290" s="21"/>
      <c r="J290" s="6"/>
      <c r="K290" s="22"/>
      <c r="L290" s="19"/>
      <c r="M290" s="6"/>
      <c r="N290" s="19"/>
      <c r="O290" s="6"/>
    </row>
    <row r="291" spans="1:15" x14ac:dyDescent="0.3">
      <c r="A291" s="6"/>
      <c r="B291" s="13"/>
      <c r="D291" s="6"/>
      <c r="E291" s="6" t="s">
        <v>258</v>
      </c>
      <c r="F291" s="6"/>
      <c r="G291" s="6"/>
      <c r="H291"/>
      <c r="I291" s="19"/>
      <c r="J291" s="6"/>
      <c r="K291" s="20"/>
      <c r="L291" s="19"/>
      <c r="M291" s="6"/>
      <c r="N291" s="19"/>
      <c r="O291" s="6"/>
    </row>
    <row r="292" spans="1:15" x14ac:dyDescent="0.3">
      <c r="A292" s="6"/>
      <c r="B292" s="13"/>
      <c r="D292" s="6"/>
      <c r="E292" s="6"/>
      <c r="F292" s="6"/>
      <c r="G292" s="6"/>
      <c r="H292"/>
      <c r="I292" s="19"/>
      <c r="J292" s="6"/>
      <c r="K292" s="20"/>
      <c r="L292" s="19"/>
      <c r="M292" s="6"/>
      <c r="N292" s="19"/>
      <c r="O292" s="6"/>
    </row>
    <row r="293" spans="1:15" x14ac:dyDescent="0.3">
      <c r="A293" s="6"/>
      <c r="B293" s="13"/>
      <c r="D293" s="6"/>
      <c r="E293" s="6"/>
      <c r="F293" s="6"/>
      <c r="G293" s="6"/>
      <c r="H293"/>
      <c r="I293" s="19"/>
      <c r="J293" s="6"/>
      <c r="K293" s="20"/>
      <c r="L293" s="19"/>
      <c r="M293" s="6"/>
      <c r="N293" s="19"/>
      <c r="O293" s="6"/>
    </row>
    <row r="294" spans="1:15" x14ac:dyDescent="0.3">
      <c r="H294"/>
    </row>
    <row r="295" spans="1:15" x14ac:dyDescent="0.3">
      <c r="H295"/>
    </row>
    <row r="296" spans="1:15" x14ac:dyDescent="0.3">
      <c r="H296"/>
    </row>
    <row r="297" spans="1:15" x14ac:dyDescent="0.3">
      <c r="B297" s="24"/>
      <c r="H297"/>
    </row>
    <row r="298" spans="1:15" x14ac:dyDescent="0.3">
      <c r="H298"/>
    </row>
    <row r="299" spans="1:15" x14ac:dyDescent="0.3">
      <c r="H299"/>
    </row>
    <row r="300" spans="1:15" x14ac:dyDescent="0.3">
      <c r="H300"/>
    </row>
    <row r="301" spans="1:15" x14ac:dyDescent="0.3">
      <c r="H301"/>
    </row>
    <row r="302" spans="1:15" x14ac:dyDescent="0.3">
      <c r="H302"/>
    </row>
    <row r="303" spans="1:15" x14ac:dyDescent="0.3">
      <c r="H303"/>
    </row>
    <row r="304" spans="1:15" x14ac:dyDescent="0.3">
      <c r="H304"/>
    </row>
    <row r="305" spans="8:8" x14ac:dyDescent="0.3">
      <c r="H305"/>
    </row>
    <row r="306" spans="8:8" x14ac:dyDescent="0.3">
      <c r="H306"/>
    </row>
    <row r="307" spans="8:8" x14ac:dyDescent="0.3">
      <c r="H307"/>
    </row>
    <row r="308" spans="8:8" x14ac:dyDescent="0.3">
      <c r="H308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J34" sqref="J34"/>
    </sheetView>
  </sheetViews>
  <sheetFormatPr defaultRowHeight="14.4" x14ac:dyDescent="0.3"/>
  <cols>
    <col min="1" max="1" width="18.6640625" customWidth="1"/>
    <col min="2" max="3" width="16.109375" customWidth="1"/>
    <col min="4" max="5" width="15.109375" customWidth="1"/>
    <col min="6" max="6" width="16.109375" customWidth="1"/>
    <col min="7" max="7" width="15.109375" customWidth="1"/>
    <col min="8" max="8" width="16.44140625" customWidth="1"/>
    <col min="9" max="9" width="15.109375" customWidth="1"/>
    <col min="10" max="10" width="13.5546875" customWidth="1"/>
    <col min="11" max="12" width="15.109375" customWidth="1"/>
    <col min="13" max="13" width="17.21875" customWidth="1"/>
    <col min="14" max="15" width="13.5546875" customWidth="1"/>
    <col min="16" max="17" width="15.109375" customWidth="1"/>
    <col min="18" max="18" width="13.5546875" customWidth="1"/>
    <col min="19" max="19" width="15.109375" customWidth="1"/>
    <col min="20" max="20" width="25.6640625" customWidth="1"/>
    <col min="21" max="21" width="17.21875" customWidth="1"/>
    <col min="22" max="22" width="25.6640625" customWidth="1"/>
    <col min="23" max="23" width="12" customWidth="1"/>
    <col min="24" max="24" width="12" bestFit="1" customWidth="1"/>
  </cols>
  <sheetData>
    <row r="1" spans="1:13" x14ac:dyDescent="0.3">
      <c r="A1" s="1" t="s">
        <v>389</v>
      </c>
      <c r="B1" t="s">
        <v>437</v>
      </c>
    </row>
    <row r="2" spans="1:13" x14ac:dyDescent="0.3">
      <c r="A2" s="1" t="s">
        <v>151</v>
      </c>
      <c r="B2" t="s">
        <v>173</v>
      </c>
    </row>
    <row r="3" spans="1:13" x14ac:dyDescent="0.3">
      <c r="A3" s="1" t="s">
        <v>152</v>
      </c>
      <c r="B3" t="s">
        <v>173</v>
      </c>
    </row>
    <row r="5" spans="1:13" x14ac:dyDescent="0.3">
      <c r="A5" s="1" t="s">
        <v>385</v>
      </c>
      <c r="B5" s="1" t="s">
        <v>157</v>
      </c>
    </row>
    <row r="6" spans="1:13" x14ac:dyDescent="0.3">
      <c r="A6" s="1" t="s">
        <v>154</v>
      </c>
      <c r="B6" t="s">
        <v>67</v>
      </c>
      <c r="C6" t="s">
        <v>315</v>
      </c>
      <c r="D6" t="s">
        <v>78</v>
      </c>
      <c r="E6" t="s">
        <v>265</v>
      </c>
      <c r="F6" t="s">
        <v>98</v>
      </c>
      <c r="G6" t="s">
        <v>172</v>
      </c>
      <c r="H6" t="s">
        <v>312</v>
      </c>
      <c r="I6" t="s">
        <v>4</v>
      </c>
      <c r="J6" t="s">
        <v>60</v>
      </c>
      <c r="K6" t="s">
        <v>120</v>
      </c>
      <c r="L6" t="s">
        <v>117</v>
      </c>
      <c r="M6" t="s">
        <v>155</v>
      </c>
    </row>
    <row r="7" spans="1:13" x14ac:dyDescent="0.3">
      <c r="A7" s="2">
        <v>2013</v>
      </c>
      <c r="B7" s="68">
        <v>850000000</v>
      </c>
      <c r="C7" s="68">
        <v>3150000000</v>
      </c>
      <c r="D7" s="68"/>
      <c r="E7" s="68">
        <v>165000000</v>
      </c>
      <c r="F7" s="68">
        <v>180000000</v>
      </c>
      <c r="G7" s="68"/>
      <c r="H7" s="68">
        <v>260000000</v>
      </c>
      <c r="I7" s="68">
        <v>172000000</v>
      </c>
      <c r="J7" s="68"/>
      <c r="K7" s="68"/>
      <c r="L7" s="68">
        <v>357000000</v>
      </c>
      <c r="M7" s="68">
        <v>5134000000</v>
      </c>
    </row>
    <row r="8" spans="1:13" x14ac:dyDescent="0.3">
      <c r="A8" s="2">
        <v>2014</v>
      </c>
      <c r="B8" s="68">
        <v>1106000000</v>
      </c>
      <c r="C8" s="68">
        <v>1795250000</v>
      </c>
      <c r="D8" s="68"/>
      <c r="E8" s="68"/>
      <c r="F8" s="68">
        <v>550000000</v>
      </c>
      <c r="G8" s="68"/>
      <c r="H8" s="68">
        <v>178320000</v>
      </c>
      <c r="I8" s="68">
        <v>951900000</v>
      </c>
      <c r="J8" s="68">
        <v>153000000</v>
      </c>
      <c r="K8" s="68">
        <v>20000000</v>
      </c>
      <c r="L8" s="68">
        <v>49000000</v>
      </c>
      <c r="M8" s="68">
        <v>4803470000</v>
      </c>
    </row>
    <row r="9" spans="1:13" x14ac:dyDescent="0.3">
      <c r="A9" s="2">
        <v>2015</v>
      </c>
      <c r="B9" s="68"/>
      <c r="C9" s="68">
        <v>200000000</v>
      </c>
      <c r="D9" s="68"/>
      <c r="E9" s="68">
        <v>22000000</v>
      </c>
      <c r="F9" s="68">
        <v>1065000000</v>
      </c>
      <c r="G9" s="68"/>
      <c r="H9" s="68">
        <v>910000000</v>
      </c>
      <c r="I9" s="68">
        <v>251800000</v>
      </c>
      <c r="J9" s="68"/>
      <c r="K9" s="68"/>
      <c r="L9" s="68">
        <v>1900000000</v>
      </c>
      <c r="M9" s="68">
        <v>4348800000</v>
      </c>
    </row>
    <row r="10" spans="1:13" x14ac:dyDescent="0.3">
      <c r="A10" s="2">
        <v>2016</v>
      </c>
      <c r="B10" s="68"/>
      <c r="C10" s="68">
        <v>930000000</v>
      </c>
      <c r="D10" s="68"/>
      <c r="E10" s="68">
        <v>24444444.444444444</v>
      </c>
      <c r="F10" s="68">
        <v>1400000000</v>
      </c>
      <c r="G10" s="68"/>
      <c r="H10" s="68">
        <v>8187500000</v>
      </c>
      <c r="I10" s="68"/>
      <c r="J10" s="68"/>
      <c r="K10" s="68">
        <v>1600348000</v>
      </c>
      <c r="L10" s="68"/>
      <c r="M10" s="68">
        <v>12142292444.444445</v>
      </c>
    </row>
    <row r="11" spans="1:13" x14ac:dyDescent="0.3">
      <c r="A11" s="2">
        <v>2017</v>
      </c>
      <c r="B11" s="68"/>
      <c r="C11" s="68">
        <v>15581000000</v>
      </c>
      <c r="D11" s="68">
        <v>135000000</v>
      </c>
      <c r="E11" s="68">
        <v>400000000</v>
      </c>
      <c r="F11" s="68">
        <v>2300000000</v>
      </c>
      <c r="G11" s="68">
        <v>1400000000</v>
      </c>
      <c r="H11" s="68">
        <v>8250000000</v>
      </c>
      <c r="I11" s="68">
        <v>2500000000</v>
      </c>
      <c r="J11" s="68"/>
      <c r="K11" s="68">
        <v>2843300000</v>
      </c>
      <c r="L11" s="68">
        <v>1750000000</v>
      </c>
      <c r="M11" s="68">
        <v>35159300000</v>
      </c>
    </row>
    <row r="12" spans="1:13" x14ac:dyDescent="0.3">
      <c r="A12" s="2">
        <v>2018</v>
      </c>
      <c r="B12" s="68"/>
      <c r="C12" s="68">
        <v>17272000000</v>
      </c>
      <c r="D12" s="68"/>
      <c r="E12" s="68">
        <v>400000000</v>
      </c>
      <c r="F12" s="68">
        <v>6610000000</v>
      </c>
      <c r="G12" s="68"/>
      <c r="H12" s="68">
        <v>3215000000</v>
      </c>
      <c r="I12" s="68">
        <v>450000000</v>
      </c>
      <c r="J12" s="68"/>
      <c r="K12" s="68">
        <v>199800000</v>
      </c>
      <c r="L12" s="68"/>
      <c r="M12" s="68">
        <v>28146800000</v>
      </c>
    </row>
    <row r="13" spans="1:13" x14ac:dyDescent="0.3">
      <c r="A13" s="2">
        <v>2019</v>
      </c>
      <c r="B13" s="68"/>
      <c r="C13" s="68">
        <v>5000000000</v>
      </c>
      <c r="D13" s="68">
        <v>2000000000.0000002</v>
      </c>
      <c r="E13" s="68"/>
      <c r="F13" s="68">
        <v>1600000000</v>
      </c>
      <c r="G13" s="68"/>
      <c r="H13" s="68">
        <v>1920000000</v>
      </c>
      <c r="I13" s="68">
        <v>1600000000</v>
      </c>
      <c r="J13" s="68"/>
      <c r="K13" s="68">
        <v>222000000</v>
      </c>
      <c r="L13" s="68"/>
      <c r="M13" s="68">
        <v>12342000000</v>
      </c>
    </row>
    <row r="14" spans="1:13" x14ac:dyDescent="0.3">
      <c r="A14" s="2">
        <v>2020</v>
      </c>
      <c r="B14" s="68"/>
      <c r="C14" s="68">
        <v>8900000000</v>
      </c>
      <c r="D14" s="68"/>
      <c r="E14" s="68"/>
      <c r="F14" s="68"/>
      <c r="G14" s="68"/>
      <c r="H14" s="68">
        <v>2700000000</v>
      </c>
      <c r="I14" s="68"/>
      <c r="J14" s="68"/>
      <c r="K14" s="68">
        <v>421800000</v>
      </c>
      <c r="L14" s="68"/>
      <c r="M14" s="68">
        <v>12021800000</v>
      </c>
    </row>
    <row r="15" spans="1:13" x14ac:dyDescent="0.3">
      <c r="A15" s="2">
        <v>2022</v>
      </c>
      <c r="B15" s="68"/>
      <c r="C15" s="68">
        <v>9400000000</v>
      </c>
      <c r="D15" s="68"/>
      <c r="E15" s="68"/>
      <c r="F15" s="68"/>
      <c r="G15" s="68"/>
      <c r="H15" s="68"/>
      <c r="I15" s="68"/>
      <c r="J15" s="68"/>
      <c r="K15" s="68"/>
      <c r="L15" s="68"/>
      <c r="M15" s="68">
        <v>9400000000</v>
      </c>
    </row>
    <row r="16" spans="1:13" x14ac:dyDescent="0.3">
      <c r="A16" s="2" t="s">
        <v>37</v>
      </c>
      <c r="B16" s="68"/>
      <c r="C16" s="68"/>
      <c r="D16" s="68"/>
      <c r="E16" s="68"/>
      <c r="F16" s="68"/>
      <c r="G16" s="68"/>
      <c r="H16" s="68">
        <v>700000000</v>
      </c>
      <c r="I16" s="68"/>
      <c r="J16" s="68"/>
      <c r="K16" s="68"/>
      <c r="L16" s="68"/>
      <c r="M16" s="68">
        <v>700000000</v>
      </c>
    </row>
    <row r="17" spans="1:13" x14ac:dyDescent="0.3">
      <c r="A17" s="2" t="s">
        <v>155</v>
      </c>
      <c r="B17" s="68">
        <v>1956000000</v>
      </c>
      <c r="C17" s="68">
        <v>62228250000</v>
      </c>
      <c r="D17" s="68">
        <v>2135000000.0000002</v>
      </c>
      <c r="E17" s="68">
        <v>1011444444.4444444</v>
      </c>
      <c r="F17" s="68">
        <v>13705000000</v>
      </c>
      <c r="G17" s="68">
        <v>1400000000</v>
      </c>
      <c r="H17" s="68">
        <v>26320820000</v>
      </c>
      <c r="I17" s="68">
        <v>5925700000</v>
      </c>
      <c r="J17" s="68">
        <v>153000000</v>
      </c>
      <c r="K17" s="68">
        <v>5307248000</v>
      </c>
      <c r="L17" s="68">
        <v>4056000000</v>
      </c>
      <c r="M17" s="68">
        <v>124198462444.44444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opLeftCell="A13" workbookViewId="0">
      <selection activeCell="N23" sqref="N23"/>
    </sheetView>
  </sheetViews>
  <sheetFormatPr defaultRowHeight="14.4" x14ac:dyDescent="0.3"/>
  <cols>
    <col min="1" max="1" width="25.21875" customWidth="1"/>
    <col min="2" max="2" width="16.109375" customWidth="1"/>
    <col min="3" max="3" width="8.33203125" customWidth="1"/>
    <col min="4" max="4" width="4.5546875" customWidth="1"/>
    <col min="5" max="6" width="9.21875" customWidth="1"/>
    <col min="7" max="7" width="5" customWidth="1"/>
    <col min="8" max="8" width="16.44140625" customWidth="1"/>
    <col min="9" max="9" width="7.109375" customWidth="1"/>
    <col min="10" max="10" width="12" customWidth="1"/>
    <col min="11" max="11" width="9.5546875" customWidth="1"/>
    <col min="12" max="12" width="6.109375" customWidth="1"/>
    <col min="13" max="13" width="10.77734375" customWidth="1"/>
    <col min="14" max="25" width="15.77734375" customWidth="1"/>
    <col min="26" max="26" width="24.88671875" bestFit="1" customWidth="1"/>
    <col min="27" max="27" width="25.21875" customWidth="1"/>
    <col min="28" max="28" width="24.88671875" bestFit="1" customWidth="1"/>
    <col min="29" max="29" width="25.21875" customWidth="1"/>
    <col min="30" max="30" width="24.88671875" bestFit="1" customWidth="1"/>
    <col min="31" max="31" width="25.21875" customWidth="1"/>
    <col min="32" max="32" width="24.88671875" bestFit="1" customWidth="1"/>
    <col min="33" max="33" width="25.21875" customWidth="1"/>
    <col min="34" max="34" width="24.88671875" bestFit="1" customWidth="1"/>
    <col min="35" max="35" width="25.21875" customWidth="1"/>
    <col min="36" max="36" width="24.88671875" bestFit="1" customWidth="1"/>
    <col min="37" max="37" width="25.21875" customWidth="1"/>
    <col min="38" max="38" width="24.88671875" bestFit="1" customWidth="1"/>
    <col min="39" max="39" width="25.21875" customWidth="1"/>
    <col min="40" max="40" width="24.88671875" bestFit="1" customWidth="1"/>
    <col min="41" max="41" width="25.21875" customWidth="1"/>
    <col min="42" max="42" width="24.88671875" bestFit="1" customWidth="1"/>
    <col min="43" max="43" width="25.21875" customWidth="1"/>
    <col min="44" max="44" width="25.6640625" bestFit="1" customWidth="1"/>
    <col min="45" max="45" width="25.21875" customWidth="1"/>
    <col min="46" max="46" width="29.77734375" bestFit="1" customWidth="1"/>
    <col min="47" max="47" width="30.109375" customWidth="1"/>
  </cols>
  <sheetData>
    <row r="1" spans="1:12" x14ac:dyDescent="0.3">
      <c r="A1" s="1" t="s">
        <v>389</v>
      </c>
      <c r="B1" t="s">
        <v>437</v>
      </c>
    </row>
    <row r="2" spans="1:12" x14ac:dyDescent="0.3">
      <c r="A2" s="1" t="s">
        <v>151</v>
      </c>
      <c r="B2" t="s">
        <v>173</v>
      </c>
    </row>
    <row r="3" spans="1:12" x14ac:dyDescent="0.3">
      <c r="A3" s="1" t="s">
        <v>152</v>
      </c>
      <c r="B3" t="s">
        <v>173</v>
      </c>
    </row>
    <row r="5" spans="1:12" x14ac:dyDescent="0.3">
      <c r="A5" s="1" t="s">
        <v>438</v>
      </c>
      <c r="B5" s="1" t="s">
        <v>157</v>
      </c>
    </row>
    <row r="6" spans="1:12" ht="28.8" x14ac:dyDescent="0.3">
      <c r="A6" s="1" t="s">
        <v>154</v>
      </c>
      <c r="B6" t="s">
        <v>67</v>
      </c>
      <c r="C6" t="s">
        <v>315</v>
      </c>
      <c r="D6" t="s">
        <v>78</v>
      </c>
      <c r="E6" t="s">
        <v>265</v>
      </c>
      <c r="F6" t="s">
        <v>98</v>
      </c>
      <c r="G6" t="s">
        <v>172</v>
      </c>
      <c r="H6" t="s">
        <v>312</v>
      </c>
      <c r="I6" t="s">
        <v>60</v>
      </c>
      <c r="J6" t="s">
        <v>120</v>
      </c>
      <c r="K6" t="s">
        <v>117</v>
      </c>
      <c r="L6" s="69" t="s">
        <v>155</v>
      </c>
    </row>
    <row r="7" spans="1:12" x14ac:dyDescent="0.3">
      <c r="A7" s="2">
        <v>2013</v>
      </c>
      <c r="B7" s="4">
        <v>2.3799452054794521E-4</v>
      </c>
      <c r="C7" s="4">
        <v>7.1669145205479456E-2</v>
      </c>
      <c r="D7" s="4"/>
      <c r="E7" s="4">
        <v>9.8496E-2</v>
      </c>
      <c r="F7" s="4">
        <v>5.3001192328767127E-2</v>
      </c>
      <c r="G7" s="4"/>
      <c r="H7" s="4">
        <v>5.0109589041095887E-2</v>
      </c>
      <c r="I7" s="4">
        <v>0</v>
      </c>
      <c r="J7" s="4"/>
      <c r="K7" s="4">
        <v>7.0245863013698633E-3</v>
      </c>
      <c r="L7" s="4">
        <v>0.28053850739726027</v>
      </c>
    </row>
    <row r="8" spans="1:12" x14ac:dyDescent="0.3">
      <c r="A8" s="2">
        <v>2014</v>
      </c>
      <c r="B8" s="4">
        <v>2.3955616438356163E-2</v>
      </c>
      <c r="C8" s="4">
        <v>6.2625970772699172E-2</v>
      </c>
      <c r="D8" s="4"/>
      <c r="E8" s="4"/>
      <c r="F8" s="4">
        <v>6.795024657534246E-2</v>
      </c>
      <c r="G8" s="4"/>
      <c r="H8" s="4">
        <v>2.3075010211706101E-2</v>
      </c>
      <c r="I8" s="4"/>
      <c r="J8" s="4">
        <v>9.9945205479452055E-4</v>
      </c>
      <c r="K8" s="4">
        <v>9.6415890410958907E-4</v>
      </c>
      <c r="L8" s="4">
        <v>0.17957045495700799</v>
      </c>
    </row>
    <row r="9" spans="1:12" x14ac:dyDescent="0.3">
      <c r="A9" s="2">
        <v>2015</v>
      </c>
      <c r="B9" s="4"/>
      <c r="C9" s="4">
        <v>7.2889187061945205E-3</v>
      </c>
      <c r="D9" s="4"/>
      <c r="E9" s="4">
        <v>2.7359999999999997E-3</v>
      </c>
      <c r="F9" s="4">
        <v>9.9547111232876712E-2</v>
      </c>
      <c r="G9" s="4"/>
      <c r="H9" s="4">
        <v>6.8422366127023654E-2</v>
      </c>
      <c r="I9" s="4"/>
      <c r="J9" s="4"/>
      <c r="K9" s="4">
        <v>4.8207945205479448E-2</v>
      </c>
      <c r="L9" s="4">
        <v>0.22620234127157432</v>
      </c>
    </row>
    <row r="10" spans="1:12" x14ac:dyDescent="0.3">
      <c r="A10" s="2">
        <v>2016</v>
      </c>
      <c r="B10" s="4"/>
      <c r="C10" s="4">
        <v>3.1585314383760867E-2</v>
      </c>
      <c r="D10" s="4"/>
      <c r="E10" s="4">
        <v>1.4592000000000001E-2</v>
      </c>
      <c r="F10" s="4">
        <v>6.795024657534246E-2</v>
      </c>
      <c r="G10" s="4"/>
      <c r="H10" s="4">
        <v>0.54626333659322535</v>
      </c>
      <c r="I10" s="4"/>
      <c r="J10" s="4">
        <v>1.4661255989407561E-2</v>
      </c>
      <c r="K10" s="4"/>
      <c r="L10" s="4">
        <v>0.67505215354173631</v>
      </c>
    </row>
    <row r="11" spans="1:12" x14ac:dyDescent="0.3">
      <c r="A11" s="2">
        <v>2017</v>
      </c>
      <c r="B11" s="4"/>
      <c r="C11" s="4">
        <v>0.33354431676584684</v>
      </c>
      <c r="D11" s="4">
        <v>9.7835885714285704E-3</v>
      </c>
      <c r="E11" s="4">
        <v>0</v>
      </c>
      <c r="F11" s="4">
        <v>0.24937740493150684</v>
      </c>
      <c r="G11" s="4">
        <v>0.11117714285714286</v>
      </c>
      <c r="H11" s="4">
        <v>0.51733139726027388</v>
      </c>
      <c r="I11" s="4"/>
      <c r="J11" s="4">
        <v>3.6929753424657534E-2</v>
      </c>
      <c r="K11" s="4">
        <v>4.1321095890410962E-2</v>
      </c>
      <c r="L11" s="4">
        <v>1.2994646997012673</v>
      </c>
    </row>
    <row r="12" spans="1:12" x14ac:dyDescent="0.3">
      <c r="A12" s="2">
        <v>2018</v>
      </c>
      <c r="B12" s="4"/>
      <c r="C12" s="4">
        <v>0.40072442074863779</v>
      </c>
      <c r="D12" s="4"/>
      <c r="E12" s="4">
        <v>4.5599999999999995E-2</v>
      </c>
      <c r="F12" s="4">
        <v>0.57417958356164389</v>
      </c>
      <c r="G12" s="4"/>
      <c r="H12" s="4">
        <v>0.1927715890410959</v>
      </c>
      <c r="I12" s="4"/>
      <c r="J12" s="4">
        <v>4.4975342465753427E-3</v>
      </c>
      <c r="K12" s="4"/>
      <c r="L12" s="4">
        <v>1.2177731275979531</v>
      </c>
    </row>
    <row r="13" spans="1:12" x14ac:dyDescent="0.3">
      <c r="A13" s="2">
        <v>2019</v>
      </c>
      <c r="B13" s="4"/>
      <c r="C13" s="4">
        <v>0.12855452054794522</v>
      </c>
      <c r="D13" s="4">
        <v>0.1245184</v>
      </c>
      <c r="E13" s="4"/>
      <c r="F13" s="4">
        <v>9.5130345205479458E-2</v>
      </c>
      <c r="G13" s="4"/>
      <c r="H13" s="4">
        <v>0.22832438356164383</v>
      </c>
      <c r="I13" s="4"/>
      <c r="J13" s="4">
        <v>4.9972602739726032E-3</v>
      </c>
      <c r="K13" s="4"/>
      <c r="L13" s="4">
        <v>0.58152490958904113</v>
      </c>
    </row>
    <row r="14" spans="1:12" x14ac:dyDescent="0.3">
      <c r="A14" s="2">
        <v>2020</v>
      </c>
      <c r="B14" s="4"/>
      <c r="C14" s="4">
        <v>0.13176838356164383</v>
      </c>
      <c r="D14" s="4"/>
      <c r="E14" s="4"/>
      <c r="F14" s="4"/>
      <c r="G14" s="4"/>
      <c r="H14" s="4">
        <v>7.3160000000000003E-2</v>
      </c>
      <c r="I14" s="4"/>
      <c r="J14" s="4">
        <v>9.4947945205479441E-3</v>
      </c>
      <c r="K14" s="4"/>
      <c r="L14" s="4">
        <v>0.21442317808219177</v>
      </c>
    </row>
    <row r="15" spans="1:12" x14ac:dyDescent="0.3">
      <c r="A15" s="2">
        <v>2022</v>
      </c>
      <c r="B15" s="4"/>
      <c r="C15" s="4">
        <v>0.19283178082191782</v>
      </c>
      <c r="D15" s="4"/>
      <c r="E15" s="4"/>
      <c r="F15" s="4"/>
      <c r="G15" s="4"/>
      <c r="H15" s="4"/>
      <c r="I15" s="4"/>
      <c r="J15" s="4"/>
      <c r="K15" s="4"/>
      <c r="L15" s="4">
        <v>0.19283178082191782</v>
      </c>
    </row>
    <row r="16" spans="1:12" x14ac:dyDescent="0.3">
      <c r="A16" s="2" t="s">
        <v>37</v>
      </c>
      <c r="B16" s="4"/>
      <c r="C16" s="4"/>
      <c r="D16" s="4"/>
      <c r="E16" s="4"/>
      <c r="F16" s="4"/>
      <c r="G16" s="4"/>
      <c r="H16" s="4">
        <v>8.0175342465753419E-2</v>
      </c>
      <c r="I16" s="4"/>
      <c r="J16" s="4"/>
      <c r="K16" s="4"/>
      <c r="L16" s="4">
        <v>8.0175342465753419E-2</v>
      </c>
    </row>
    <row r="17" spans="1:12" x14ac:dyDescent="0.3">
      <c r="A17" s="2" t="s">
        <v>155</v>
      </c>
      <c r="B17" s="4">
        <v>2.419361095890411E-2</v>
      </c>
      <c r="C17" s="4">
        <v>1.3605927715141255</v>
      </c>
      <c r="D17" s="4">
        <v>0.13430198857142858</v>
      </c>
      <c r="E17" s="4">
        <v>0.16142400000000001</v>
      </c>
      <c r="F17" s="4">
        <v>1.2071361304109589</v>
      </c>
      <c r="G17" s="4">
        <v>0.11117714285714286</v>
      </c>
      <c r="H17" s="4">
        <v>1.7796330143018178</v>
      </c>
      <c r="I17" s="4">
        <v>0</v>
      </c>
      <c r="J17" s="4">
        <v>7.1580050509955501E-2</v>
      </c>
      <c r="K17" s="4">
        <v>9.7517786301369869E-2</v>
      </c>
      <c r="L17" s="4">
        <v>4.9475564954257036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opLeftCell="A29" workbookViewId="0">
      <selection activeCell="J47" sqref="J47"/>
    </sheetView>
  </sheetViews>
  <sheetFormatPr defaultRowHeight="14.4" x14ac:dyDescent="0.3"/>
  <cols>
    <col min="1" max="1" width="18.6640625" customWidth="1"/>
    <col min="2" max="12" width="15.77734375" customWidth="1"/>
    <col min="13" max="13" width="15.21875" customWidth="1"/>
    <col min="14" max="14" width="16.44140625" customWidth="1"/>
    <col min="15" max="15" width="14.77734375" customWidth="1"/>
    <col min="16" max="16" width="11.88671875" customWidth="1"/>
    <col min="17" max="17" width="10" customWidth="1"/>
    <col min="18" max="18" width="12" customWidth="1"/>
    <col min="19" max="19" width="11" customWidth="1"/>
    <col min="20" max="20" width="10" customWidth="1"/>
    <col min="21" max="21" width="11" customWidth="1"/>
    <col min="22" max="22" width="25.6640625" customWidth="1"/>
    <col min="23" max="24" width="12" customWidth="1"/>
    <col min="25" max="25" width="25.21875" bestFit="1" customWidth="1"/>
    <col min="26" max="26" width="18.6640625" bestFit="1" customWidth="1"/>
    <col min="27" max="27" width="25.21875" bestFit="1" customWidth="1"/>
    <col min="28" max="28" width="18.6640625" bestFit="1" customWidth="1"/>
    <col min="29" max="29" width="25.21875" bestFit="1" customWidth="1"/>
    <col min="30" max="30" width="18.6640625" bestFit="1" customWidth="1"/>
    <col min="31" max="31" width="25.21875" bestFit="1" customWidth="1"/>
    <col min="32" max="32" width="18.6640625" bestFit="1" customWidth="1"/>
    <col min="33" max="33" width="25.21875" bestFit="1" customWidth="1"/>
    <col min="34" max="34" width="18.6640625" bestFit="1" customWidth="1"/>
    <col min="35" max="35" width="25.21875" bestFit="1" customWidth="1"/>
    <col min="36" max="36" width="18.6640625" bestFit="1" customWidth="1"/>
    <col min="37" max="37" width="25.21875" bestFit="1" customWidth="1"/>
    <col min="38" max="38" width="18.6640625" bestFit="1" customWidth="1"/>
    <col min="39" max="39" width="25.21875" bestFit="1" customWidth="1"/>
    <col min="40" max="40" width="18.6640625" bestFit="1" customWidth="1"/>
    <col min="41" max="41" width="25.21875" bestFit="1" customWidth="1"/>
    <col min="42" max="42" width="18.6640625" bestFit="1" customWidth="1"/>
    <col min="43" max="43" width="25.21875" bestFit="1" customWidth="1"/>
    <col min="44" max="44" width="25.6640625" bestFit="1" customWidth="1"/>
    <col min="45" max="45" width="25.21875" bestFit="1" customWidth="1"/>
    <col min="46" max="46" width="23.44140625" bestFit="1" customWidth="1"/>
    <col min="47" max="47" width="30.109375" bestFit="1" customWidth="1"/>
  </cols>
  <sheetData>
    <row r="1" spans="1:12" x14ac:dyDescent="0.3">
      <c r="A1" s="1" t="s">
        <v>165</v>
      </c>
      <c r="B1" t="s">
        <v>173</v>
      </c>
    </row>
    <row r="2" spans="1:12" x14ac:dyDescent="0.3">
      <c r="A2" s="1" t="s">
        <v>151</v>
      </c>
      <c r="B2" t="s">
        <v>173</v>
      </c>
    </row>
    <row r="3" spans="1:12" x14ac:dyDescent="0.3">
      <c r="A3" s="1" t="s">
        <v>152</v>
      </c>
      <c r="B3" t="s">
        <v>173</v>
      </c>
    </row>
    <row r="5" spans="1:12" x14ac:dyDescent="0.3">
      <c r="A5" s="1" t="s">
        <v>385</v>
      </c>
      <c r="B5" s="1" t="s">
        <v>157</v>
      </c>
    </row>
    <row r="6" spans="1:12" x14ac:dyDescent="0.3">
      <c r="A6" s="1" t="s">
        <v>154</v>
      </c>
      <c r="B6" t="s">
        <v>67</v>
      </c>
      <c r="C6" t="s">
        <v>315</v>
      </c>
      <c r="D6" t="s">
        <v>78</v>
      </c>
      <c r="E6" t="s">
        <v>265</v>
      </c>
      <c r="F6" t="s">
        <v>98</v>
      </c>
      <c r="G6" t="s">
        <v>172</v>
      </c>
      <c r="H6" t="s">
        <v>312</v>
      </c>
      <c r="I6" t="s">
        <v>4</v>
      </c>
      <c r="J6" t="s">
        <v>120</v>
      </c>
      <c r="K6" t="s">
        <v>117</v>
      </c>
      <c r="L6" t="s">
        <v>155</v>
      </c>
    </row>
    <row r="7" spans="1:12" x14ac:dyDescent="0.3">
      <c r="A7" s="2" t="s">
        <v>439</v>
      </c>
      <c r="B7" s="68"/>
      <c r="C7" s="68"/>
      <c r="D7" s="68"/>
      <c r="E7" s="68"/>
      <c r="F7" s="68"/>
      <c r="G7" s="68"/>
      <c r="H7" s="68">
        <v>250000000</v>
      </c>
      <c r="I7" s="68"/>
      <c r="J7" s="68"/>
      <c r="K7" s="68"/>
      <c r="L7" s="68">
        <v>250000000</v>
      </c>
    </row>
    <row r="8" spans="1:12" x14ac:dyDescent="0.3">
      <c r="A8" s="2" t="s">
        <v>440</v>
      </c>
      <c r="B8" s="68"/>
      <c r="C8" s="68"/>
      <c r="D8" s="68"/>
      <c r="E8" s="68"/>
      <c r="F8" s="68"/>
      <c r="G8" s="68"/>
      <c r="H8" s="68"/>
      <c r="I8" s="68">
        <v>40000000</v>
      </c>
      <c r="J8" s="68"/>
      <c r="K8" s="68"/>
      <c r="L8" s="68">
        <v>40000000</v>
      </c>
    </row>
    <row r="9" spans="1:12" x14ac:dyDescent="0.3">
      <c r="A9" s="2" t="s">
        <v>441</v>
      </c>
      <c r="B9" s="68"/>
      <c r="C9" s="68"/>
      <c r="D9" s="68"/>
      <c r="E9" s="68"/>
      <c r="F9" s="68"/>
      <c r="G9" s="68"/>
      <c r="H9" s="68">
        <v>300000000</v>
      </c>
      <c r="I9" s="68"/>
      <c r="J9" s="68"/>
      <c r="K9" s="68"/>
      <c r="L9" s="68">
        <v>300000000</v>
      </c>
    </row>
    <row r="10" spans="1:12" x14ac:dyDescent="0.3">
      <c r="A10" s="2" t="s">
        <v>442</v>
      </c>
      <c r="B10" s="68">
        <v>850000000</v>
      </c>
      <c r="C10" s="68"/>
      <c r="D10" s="68"/>
      <c r="E10" s="68"/>
      <c r="F10" s="68"/>
      <c r="G10" s="68"/>
      <c r="H10" s="68">
        <v>170000000</v>
      </c>
      <c r="I10" s="68"/>
      <c r="J10" s="68"/>
      <c r="K10" s="68"/>
      <c r="L10" s="68">
        <v>1020000000</v>
      </c>
    </row>
    <row r="11" spans="1:12" x14ac:dyDescent="0.3">
      <c r="A11" s="2" t="s">
        <v>443</v>
      </c>
      <c r="B11" s="68"/>
      <c r="C11" s="68"/>
      <c r="D11" s="68"/>
      <c r="E11" s="68"/>
      <c r="F11" s="68"/>
      <c r="G11" s="68"/>
      <c r="H11" s="68">
        <v>5500000000</v>
      </c>
      <c r="I11" s="68"/>
      <c r="J11" s="68"/>
      <c r="K11" s="68"/>
      <c r="L11" s="68">
        <v>5500000000</v>
      </c>
    </row>
    <row r="12" spans="1:12" x14ac:dyDescent="0.3">
      <c r="A12" s="2" t="s">
        <v>444</v>
      </c>
      <c r="B12" s="68"/>
      <c r="C12" s="68"/>
      <c r="D12" s="68"/>
      <c r="E12" s="68"/>
      <c r="F12" s="68"/>
      <c r="G12" s="68"/>
      <c r="H12" s="68">
        <v>2000000000</v>
      </c>
      <c r="I12" s="68"/>
      <c r="J12" s="68"/>
      <c r="K12" s="68"/>
      <c r="L12" s="68">
        <v>2000000000</v>
      </c>
    </row>
    <row r="13" spans="1:12" x14ac:dyDescent="0.3">
      <c r="A13" s="2" t="s">
        <v>445</v>
      </c>
      <c r="B13" s="68"/>
      <c r="C13" s="68"/>
      <c r="D13" s="68"/>
      <c r="E13" s="68"/>
      <c r="F13" s="68"/>
      <c r="G13" s="68"/>
      <c r="H13" s="68">
        <v>1601300000</v>
      </c>
      <c r="I13" s="68"/>
      <c r="J13" s="68"/>
      <c r="K13" s="68"/>
      <c r="L13" s="68">
        <v>1601300000</v>
      </c>
    </row>
    <row r="14" spans="1:12" x14ac:dyDescent="0.3">
      <c r="A14" s="2" t="s">
        <v>446</v>
      </c>
      <c r="B14" s="68"/>
      <c r="C14" s="68"/>
      <c r="D14" s="68"/>
      <c r="E14" s="68"/>
      <c r="F14" s="68"/>
      <c r="G14" s="68"/>
      <c r="H14" s="68">
        <v>4350000000</v>
      </c>
      <c r="I14" s="68"/>
      <c r="J14" s="68"/>
      <c r="K14" s="68"/>
      <c r="L14" s="68">
        <v>4350000000</v>
      </c>
    </row>
    <row r="15" spans="1:12" x14ac:dyDescent="0.3">
      <c r="A15" s="2" t="s">
        <v>447</v>
      </c>
      <c r="B15" s="68"/>
      <c r="C15" s="68"/>
      <c r="D15" s="68"/>
      <c r="E15" s="68">
        <v>24444444.444444444</v>
      </c>
      <c r="F15" s="68"/>
      <c r="G15" s="68"/>
      <c r="H15" s="68"/>
      <c r="I15" s="68"/>
      <c r="J15" s="68"/>
      <c r="K15" s="68"/>
      <c r="L15" s="68">
        <v>24444444.444444444</v>
      </c>
    </row>
    <row r="16" spans="1:12" x14ac:dyDescent="0.3">
      <c r="A16" s="2" t="s">
        <v>448</v>
      </c>
      <c r="B16" s="68"/>
      <c r="C16" s="68">
        <v>75000000</v>
      </c>
      <c r="D16" s="68"/>
      <c r="E16" s="68"/>
      <c r="F16" s="68"/>
      <c r="G16" s="68"/>
      <c r="H16" s="68"/>
      <c r="I16" s="68"/>
      <c r="J16" s="68"/>
      <c r="K16" s="68"/>
      <c r="L16" s="68">
        <v>75000000</v>
      </c>
    </row>
    <row r="17" spans="1:12" x14ac:dyDescent="0.3">
      <c r="A17" s="2" t="s">
        <v>246</v>
      </c>
      <c r="B17" s="68">
        <v>425000000</v>
      </c>
      <c r="C17" s="68">
        <v>28072250000</v>
      </c>
      <c r="D17" s="68">
        <v>135000000</v>
      </c>
      <c r="E17" s="68">
        <v>82500000</v>
      </c>
      <c r="F17" s="68">
        <v>7060000000</v>
      </c>
      <c r="G17" s="68">
        <v>1400000000</v>
      </c>
      <c r="H17" s="68">
        <v>4338900000</v>
      </c>
      <c r="I17" s="68">
        <v>2806900000</v>
      </c>
      <c r="J17" s="68">
        <v>1259800000</v>
      </c>
      <c r="K17" s="68"/>
      <c r="L17" s="68">
        <v>45580350000</v>
      </c>
    </row>
    <row r="18" spans="1:12" x14ac:dyDescent="0.3">
      <c r="A18" s="2" t="s">
        <v>449</v>
      </c>
      <c r="B18" s="68"/>
      <c r="C18" s="68"/>
      <c r="D18" s="68">
        <v>2000000000.0000002</v>
      </c>
      <c r="E18" s="68"/>
      <c r="F18" s="68"/>
      <c r="G18" s="68"/>
      <c r="H18" s="68"/>
      <c r="I18" s="68"/>
      <c r="J18" s="68"/>
      <c r="K18" s="68"/>
      <c r="L18" s="68">
        <v>2000000000.0000002</v>
      </c>
    </row>
    <row r="19" spans="1:12" x14ac:dyDescent="0.3">
      <c r="A19" s="2" t="s">
        <v>390</v>
      </c>
      <c r="B19" s="68"/>
      <c r="C19" s="68"/>
      <c r="D19" s="68"/>
      <c r="E19" s="68"/>
      <c r="F19" s="68"/>
      <c r="G19" s="68"/>
      <c r="H19" s="68">
        <v>3000000000</v>
      </c>
      <c r="I19" s="68"/>
      <c r="J19" s="68"/>
      <c r="K19" s="68"/>
      <c r="L19" s="68">
        <v>3000000000</v>
      </c>
    </row>
    <row r="20" spans="1:12" x14ac:dyDescent="0.3">
      <c r="A20" s="2" t="s">
        <v>450</v>
      </c>
      <c r="B20" s="68"/>
      <c r="C20" s="68"/>
      <c r="D20" s="68"/>
      <c r="E20" s="68"/>
      <c r="F20" s="68"/>
      <c r="G20" s="68"/>
      <c r="H20" s="68">
        <v>650000000</v>
      </c>
      <c r="I20" s="68"/>
      <c r="J20" s="68"/>
      <c r="K20" s="68"/>
      <c r="L20" s="68">
        <v>650000000</v>
      </c>
    </row>
    <row r="21" spans="1:12" x14ac:dyDescent="0.3">
      <c r="A21" s="2" t="s">
        <v>451</v>
      </c>
      <c r="B21" s="68"/>
      <c r="C21" s="68"/>
      <c r="D21" s="68"/>
      <c r="E21" s="68">
        <v>22000000</v>
      </c>
      <c r="F21" s="68"/>
      <c r="G21" s="68"/>
      <c r="H21" s="68"/>
      <c r="I21" s="68"/>
      <c r="J21" s="68"/>
      <c r="K21" s="68"/>
      <c r="L21" s="68">
        <v>22000000</v>
      </c>
    </row>
    <row r="22" spans="1:12" x14ac:dyDescent="0.3">
      <c r="A22" s="2" t="s">
        <v>387</v>
      </c>
      <c r="B22" s="68"/>
      <c r="C22" s="68">
        <v>5700000000</v>
      </c>
      <c r="D22" s="68"/>
      <c r="E22" s="68"/>
      <c r="F22" s="68"/>
      <c r="G22" s="68"/>
      <c r="H22" s="68">
        <v>190000000</v>
      </c>
      <c r="I22" s="68"/>
      <c r="J22" s="68"/>
      <c r="K22" s="68">
        <v>88200000</v>
      </c>
      <c r="L22" s="68">
        <v>5978200000</v>
      </c>
    </row>
    <row r="23" spans="1:12" x14ac:dyDescent="0.3">
      <c r="A23" s="2" t="s">
        <v>452</v>
      </c>
      <c r="B23" s="68"/>
      <c r="C23" s="68"/>
      <c r="D23" s="68"/>
      <c r="E23" s="68"/>
      <c r="F23" s="68"/>
      <c r="G23" s="68"/>
      <c r="H23" s="68">
        <v>1300000000</v>
      </c>
      <c r="I23" s="68"/>
      <c r="J23" s="68"/>
      <c r="K23" s="68"/>
      <c r="L23" s="68">
        <v>1300000000</v>
      </c>
    </row>
    <row r="24" spans="1:12" x14ac:dyDescent="0.3">
      <c r="A24" s="2" t="s">
        <v>453</v>
      </c>
      <c r="B24" s="68"/>
      <c r="C24" s="68"/>
      <c r="D24" s="68"/>
      <c r="E24" s="68"/>
      <c r="F24" s="68">
        <v>1800000000</v>
      </c>
      <c r="G24" s="68"/>
      <c r="H24" s="68"/>
      <c r="I24" s="68"/>
      <c r="J24" s="68"/>
      <c r="K24" s="68"/>
      <c r="L24" s="68">
        <v>1800000000</v>
      </c>
    </row>
    <row r="25" spans="1:12" x14ac:dyDescent="0.3">
      <c r="A25" s="2" t="s">
        <v>413</v>
      </c>
      <c r="B25" s="68"/>
      <c r="C25" s="68"/>
      <c r="D25" s="68"/>
      <c r="E25" s="68"/>
      <c r="F25" s="68"/>
      <c r="G25" s="68"/>
      <c r="H25" s="68"/>
      <c r="I25" s="68">
        <v>62000000</v>
      </c>
      <c r="J25" s="68"/>
      <c r="K25" s="68"/>
      <c r="L25" s="68">
        <v>62000000</v>
      </c>
    </row>
    <row r="26" spans="1:12" x14ac:dyDescent="0.3">
      <c r="A26" s="2" t="s">
        <v>454</v>
      </c>
      <c r="B26" s="68">
        <v>270000000</v>
      </c>
      <c r="C26" s="68"/>
      <c r="D26" s="68"/>
      <c r="E26" s="68"/>
      <c r="F26" s="68"/>
      <c r="G26" s="68"/>
      <c r="H26" s="68">
        <v>237500000</v>
      </c>
      <c r="I26" s="68">
        <v>1600000000</v>
      </c>
      <c r="J26" s="68"/>
      <c r="K26" s="68"/>
      <c r="L26" s="68">
        <v>2107500000</v>
      </c>
    </row>
    <row r="27" spans="1:12" x14ac:dyDescent="0.3">
      <c r="A27" s="2" t="s">
        <v>245</v>
      </c>
      <c r="B27" s="68">
        <v>411000000</v>
      </c>
      <c r="C27" s="68">
        <v>25181000000</v>
      </c>
      <c r="D27" s="68"/>
      <c r="E27" s="68">
        <v>882500000</v>
      </c>
      <c r="F27" s="68">
        <v>3045000000</v>
      </c>
      <c r="G27" s="68"/>
      <c r="H27" s="68">
        <v>1383120000</v>
      </c>
      <c r="I27" s="68">
        <v>1416800000</v>
      </c>
      <c r="J27" s="68">
        <v>3625648000</v>
      </c>
      <c r="K27" s="68">
        <v>3967800000</v>
      </c>
      <c r="L27" s="68">
        <v>39912868000</v>
      </c>
    </row>
    <row r="28" spans="1:12" x14ac:dyDescent="0.3">
      <c r="A28" s="2" t="s">
        <v>455</v>
      </c>
      <c r="B28" s="68"/>
      <c r="C28" s="68"/>
      <c r="D28" s="68"/>
      <c r="E28" s="68"/>
      <c r="F28" s="68">
        <v>1800000000</v>
      </c>
      <c r="G28" s="68"/>
      <c r="H28" s="68"/>
      <c r="I28" s="68"/>
      <c r="J28" s="68"/>
      <c r="K28" s="68"/>
      <c r="L28" s="68">
        <v>1800000000</v>
      </c>
    </row>
    <row r="29" spans="1:12" x14ac:dyDescent="0.3">
      <c r="A29" s="2" t="s">
        <v>408</v>
      </c>
      <c r="B29" s="68"/>
      <c r="C29" s="68">
        <v>3200000000</v>
      </c>
      <c r="D29" s="68"/>
      <c r="E29" s="68"/>
      <c r="F29" s="68"/>
      <c r="G29" s="68"/>
      <c r="H29" s="68"/>
      <c r="I29" s="68"/>
      <c r="J29" s="68">
        <v>421800000</v>
      </c>
      <c r="K29" s="68"/>
      <c r="L29" s="68">
        <v>3621800000</v>
      </c>
    </row>
    <row r="30" spans="1:12" x14ac:dyDescent="0.3">
      <c r="A30" s="2" t="s">
        <v>456</v>
      </c>
      <c r="B30" s="68"/>
      <c r="C30" s="68"/>
      <c r="D30" s="68"/>
      <c r="E30" s="68"/>
      <c r="F30" s="68"/>
      <c r="G30" s="68"/>
      <c r="H30" s="68">
        <v>350000000</v>
      </c>
      <c r="I30" s="68"/>
      <c r="J30" s="68"/>
      <c r="K30" s="68"/>
      <c r="L30" s="68">
        <v>350000000</v>
      </c>
    </row>
    <row r="31" spans="1:12" x14ac:dyDescent="0.3">
      <c r="A31" s="2" t="s">
        <v>155</v>
      </c>
      <c r="B31" s="68">
        <v>1956000000</v>
      </c>
      <c r="C31" s="68">
        <v>62228250000</v>
      </c>
      <c r="D31" s="68">
        <v>2135000000.0000002</v>
      </c>
      <c r="E31" s="68">
        <v>1011444444.4444444</v>
      </c>
      <c r="F31" s="68">
        <v>13705000000</v>
      </c>
      <c r="G31" s="68">
        <v>1400000000</v>
      </c>
      <c r="H31" s="68">
        <v>25620820000</v>
      </c>
      <c r="I31" s="68">
        <v>5925700000</v>
      </c>
      <c r="J31" s="68">
        <v>5307248000</v>
      </c>
      <c r="K31" s="68">
        <v>4056000000</v>
      </c>
      <c r="L31" s="68">
        <v>123345462444.44444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Notes</vt:lpstr>
      <vt:lpstr>Projects</vt:lpstr>
      <vt:lpstr>Investment</vt:lpstr>
      <vt:lpstr>NG Consumption</vt:lpstr>
      <vt:lpstr>Regional Distribution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Xinya Zhang</dc:creator>
  <cp:lastModifiedBy>Gurcan Gulen</cp:lastModifiedBy>
  <cp:lastPrinted>2013-11-21T16:14:48Z</cp:lastPrinted>
  <dcterms:created xsi:type="dcterms:W3CDTF">2013-10-03T22:38:11Z</dcterms:created>
  <dcterms:modified xsi:type="dcterms:W3CDTF">2017-12-07T23:31:22Z</dcterms:modified>
</cp:coreProperties>
</file>