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11.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drawings/drawing12.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17.xml" ContentType="application/vnd.openxmlformats-officedocument.spreadsheetml.pivotTable+xml"/>
  <Override PartName="/xl/drawings/drawing17.xml" ContentType="application/vnd.openxmlformats-officedocument.drawing+xml"/>
  <Override PartName="/xl/slicers/slicer3.xml" ContentType="application/vnd.ms-excel.slicer+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guleng\Documents\CEE at BEG\web site\"/>
    </mc:Choice>
  </mc:AlternateContent>
  <bookViews>
    <workbookView xWindow="0" yWindow="0" windowWidth="18360" windowHeight="6960" tabRatio="715"/>
  </bookViews>
  <sheets>
    <sheet name="Data" sheetId="1" r:id="rId1"/>
    <sheet name="Pivots" sheetId="126" r:id="rId2"/>
    <sheet name="Dashboard" sheetId="127" r:id="rId3"/>
    <sheet name="Price Charts" sheetId="121" r:id="rId4"/>
    <sheet name="Gas" sheetId="107" r:id="rId5"/>
    <sheet name="Oil" sheetId="108" r:id="rId6"/>
    <sheet name="NGL" sheetId="109" r:id="rId7"/>
    <sheet name="10Capex" sheetId="113" r:id="rId8"/>
    <sheet name="HiLowAvg" sheetId="8" r:id="rId9"/>
    <sheet name="Notes" sheetId="119" r:id="rId10"/>
  </sheets>
  <definedNames>
    <definedName name="_xlnm._FilterDatabase" localSheetId="0" hidden="1">Data!$A$2:$CQ$162</definedName>
    <definedName name="Slicer_Company">#N/A</definedName>
    <definedName name="Slicer_Company1">#N/A</definedName>
    <definedName name="Slicer_Year1">#N/A</definedName>
  </definedNames>
  <calcPr calcId="152511" concurrentCalc="0"/>
  <pivotCaches>
    <pivotCache cacheId="0" r:id="rId11"/>
    <pivotCache cacheId="1" r:id="rId12"/>
    <pivotCache cacheId="2" r:id="rId13"/>
    <pivotCache cacheId="3" r:id="rId14"/>
  </pivotCaches>
  <extLst>
    <ext xmlns:x14="http://schemas.microsoft.com/office/spreadsheetml/2009/9/main" uri="{BBE1A952-AA13-448e-AADC-164F8A28A991}">
      <x14:slicerCaches>
        <x14:slicerCache r:id="rId15"/>
        <x14:slicerCache r:id="rId16"/>
        <x14:slicerCache r:id="rId17"/>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60" i="126" l="1"/>
  <c r="F161" i="126"/>
  <c r="F162" i="126"/>
  <c r="F163" i="126"/>
  <c r="F164" i="126"/>
  <c r="F165" i="126"/>
  <c r="F166" i="126"/>
  <c r="F159" i="126"/>
  <c r="G166" i="126"/>
  <c r="Q106" i="126"/>
  <c r="P106" i="126"/>
  <c r="O106" i="126"/>
  <c r="N106" i="126"/>
  <c r="M106" i="126"/>
  <c r="L106" i="126"/>
  <c r="R105" i="126"/>
  <c r="Q105" i="126"/>
  <c r="P105" i="126"/>
  <c r="O105" i="126"/>
  <c r="N105" i="126"/>
  <c r="M105" i="126"/>
  <c r="L105" i="126"/>
  <c r="R104" i="126"/>
  <c r="Q104" i="126"/>
  <c r="P104" i="126"/>
  <c r="O104" i="126"/>
  <c r="N104" i="126"/>
  <c r="M104" i="126"/>
  <c r="L104" i="126"/>
  <c r="R103" i="126"/>
  <c r="Q103" i="126"/>
  <c r="P103" i="126"/>
  <c r="O103" i="126"/>
  <c r="N103" i="126"/>
  <c r="M103" i="126"/>
  <c r="L103" i="126"/>
  <c r="R102" i="126"/>
  <c r="Q102" i="126"/>
  <c r="P102" i="126"/>
  <c r="O102" i="126"/>
  <c r="N102" i="126"/>
  <c r="M102" i="126"/>
  <c r="L102" i="126"/>
  <c r="R101" i="126"/>
  <c r="Q101" i="126"/>
  <c r="P101" i="126"/>
  <c r="O101" i="126"/>
  <c r="N101" i="126"/>
  <c r="M101" i="126"/>
  <c r="L101" i="126"/>
  <c r="R100" i="126"/>
  <c r="Q100" i="126"/>
  <c r="P100" i="126"/>
  <c r="O100" i="126"/>
  <c r="N100" i="126"/>
  <c r="M100" i="126"/>
  <c r="L100" i="126"/>
  <c r="S99" i="126"/>
  <c r="R99" i="126"/>
  <c r="Q99" i="126"/>
  <c r="P99" i="126"/>
  <c r="O99" i="126"/>
  <c r="N99" i="126"/>
  <c r="M99" i="126"/>
  <c r="L99" i="126"/>
  <c r="K106" i="126"/>
  <c r="K105" i="126"/>
  <c r="K104" i="126"/>
  <c r="K103" i="126"/>
  <c r="K102" i="126"/>
  <c r="K101" i="126"/>
  <c r="K100" i="126"/>
  <c r="J101" i="126"/>
  <c r="S101" i="126"/>
  <c r="J102" i="126"/>
  <c r="S102" i="126"/>
  <c r="J103" i="126"/>
  <c r="S103" i="126"/>
  <c r="J104" i="126"/>
  <c r="S104" i="126"/>
  <c r="J105" i="126"/>
  <c r="S105" i="126"/>
  <c r="J106" i="126"/>
  <c r="S106" i="126"/>
  <c r="J100" i="126"/>
  <c r="S100" i="126"/>
  <c r="I106" i="126"/>
  <c r="R106" i="126"/>
  <c r="I176" i="126"/>
  <c r="I177" i="126"/>
  <c r="I178" i="126"/>
  <c r="M81" i="126"/>
  <c r="M80" i="126"/>
  <c r="M79" i="126"/>
  <c r="M78" i="126"/>
  <c r="M77" i="126"/>
  <c r="M76" i="126"/>
  <c r="M82" i="126"/>
  <c r="N82" i="126"/>
  <c r="K76" i="126"/>
  <c r="K77" i="126"/>
  <c r="K78" i="126"/>
  <c r="K79" i="126"/>
  <c r="K80" i="126"/>
  <c r="K81" i="126"/>
  <c r="K82" i="126"/>
  <c r="L82" i="126"/>
  <c r="K75" i="126"/>
  <c r="I82" i="126"/>
  <c r="J82" i="126"/>
  <c r="I81" i="126"/>
  <c r="J81" i="126"/>
  <c r="I80" i="126"/>
  <c r="J80" i="126"/>
  <c r="I79" i="126"/>
  <c r="J79" i="126"/>
  <c r="I78" i="126"/>
  <c r="J78" i="126"/>
  <c r="I77" i="126"/>
  <c r="J77" i="126"/>
  <c r="I76" i="126"/>
  <c r="J76" i="126"/>
  <c r="I75" i="126"/>
  <c r="J75" i="126"/>
  <c r="W15" i="121"/>
  <c r="W16" i="121"/>
  <c r="W17" i="121"/>
  <c r="W18" i="121"/>
  <c r="W19" i="121"/>
  <c r="W14" i="121"/>
  <c r="U19" i="121"/>
  <c r="U18" i="121"/>
  <c r="U17" i="121"/>
  <c r="U16" i="121"/>
  <c r="U15" i="121"/>
  <c r="U14" i="121"/>
  <c r="S15" i="121"/>
  <c r="S16" i="121"/>
  <c r="S17" i="121"/>
  <c r="S18" i="121"/>
  <c r="S19" i="121"/>
  <c r="S14" i="121"/>
  <c r="V15" i="121"/>
  <c r="V16" i="121"/>
  <c r="V17" i="121"/>
  <c r="V18" i="121"/>
  <c r="V19" i="121"/>
  <c r="V14" i="121"/>
  <c r="T14" i="121"/>
  <c r="T19" i="121"/>
  <c r="T18" i="121"/>
  <c r="T17" i="121"/>
  <c r="T16" i="121"/>
  <c r="T15" i="121"/>
  <c r="R15" i="121"/>
  <c r="R16" i="121"/>
  <c r="R17" i="121"/>
  <c r="R18" i="121"/>
  <c r="R19" i="121"/>
  <c r="R14" i="121"/>
  <c r="N34" i="121"/>
  <c r="I34" i="121"/>
  <c r="D34" i="121"/>
  <c r="CT142" i="1"/>
  <c r="DI142" i="1"/>
  <c r="DL142" i="1"/>
  <c r="CW142" i="1"/>
  <c r="DH152" i="1"/>
  <c r="CS152" i="1"/>
  <c r="CV152" i="1"/>
  <c r="DK152" i="1"/>
  <c r="DN152" i="1"/>
  <c r="CY152" i="1"/>
  <c r="DN162" i="1"/>
  <c r="CY162" i="1"/>
  <c r="DK162" i="1"/>
  <c r="CV162" i="1"/>
  <c r="CS162" i="1"/>
  <c r="DH162" i="1"/>
  <c r="DW162" i="1"/>
  <c r="DZ162" i="1"/>
  <c r="EC162" i="1"/>
  <c r="DW152" i="1"/>
  <c r="DZ152" i="1"/>
  <c r="EC152" i="1"/>
  <c r="DX142" i="1"/>
  <c r="EA142" i="1"/>
  <c r="L79" i="126"/>
  <c r="L78" i="126"/>
  <c r="L76" i="126"/>
  <c r="L77" i="126"/>
  <c r="L81" i="126"/>
  <c r="L80" i="126"/>
  <c r="DE12" i="1"/>
  <c r="EI12" i="1"/>
  <c r="DT12" i="1"/>
  <c r="H26" i="121"/>
  <c r="J26" i="121"/>
  <c r="H27" i="121"/>
  <c r="J27" i="121"/>
  <c r="H28" i="121"/>
  <c r="J28" i="121"/>
  <c r="H29" i="121"/>
  <c r="J29" i="121"/>
  <c r="H30" i="121"/>
  <c r="J30" i="121"/>
  <c r="H31" i="121"/>
  <c r="J31" i="121"/>
  <c r="H32" i="121"/>
  <c r="J32" i="121"/>
  <c r="M26" i="121"/>
  <c r="O26" i="121"/>
  <c r="C20" i="121"/>
  <c r="E20" i="121"/>
  <c r="C19" i="121"/>
  <c r="E19" i="121"/>
  <c r="C18" i="121"/>
  <c r="E18" i="121"/>
  <c r="C17" i="121"/>
  <c r="E17" i="121"/>
  <c r="C16" i="121"/>
  <c r="E16" i="121"/>
  <c r="C15" i="121"/>
  <c r="E15" i="121"/>
  <c r="C14" i="121"/>
  <c r="E14" i="121"/>
  <c r="DW142" i="1"/>
  <c r="DZ142" i="1"/>
  <c r="EC142" i="1"/>
  <c r="DH142" i="1"/>
  <c r="DK142" i="1"/>
  <c r="CS142" i="1"/>
  <c r="CV142" i="1"/>
  <c r="CZ142" i="1"/>
  <c r="CY142" i="1"/>
  <c r="DO142" i="1"/>
  <c r="DN142" i="1"/>
  <c r="ED142" i="1"/>
  <c r="CT132" i="1"/>
  <c r="DI132" i="1"/>
  <c r="DX132" i="1"/>
  <c r="CW132" i="1"/>
  <c r="DL132" i="1"/>
  <c r="EA132" i="1"/>
  <c r="CS132" i="1"/>
  <c r="CV132" i="1"/>
  <c r="CZ132" i="1"/>
  <c r="DC132" i="1"/>
  <c r="DH132" i="1"/>
  <c r="DK132" i="1"/>
  <c r="DO132" i="1"/>
  <c r="DN132" i="1"/>
  <c r="DW132" i="1"/>
  <c r="DZ132" i="1"/>
  <c r="ED132" i="1"/>
  <c r="EC132" i="1"/>
  <c r="EF132" i="1"/>
  <c r="DI121" i="1"/>
  <c r="DX121" i="1"/>
  <c r="EA121" i="1"/>
  <c r="DL121" i="1"/>
  <c r="ED121" i="1"/>
  <c r="DO121" i="1"/>
  <c r="CT121" i="1"/>
  <c r="DX122" i="1"/>
  <c r="DW122" i="1"/>
  <c r="DI122" i="1"/>
  <c r="CT122" i="1"/>
  <c r="DH122" i="1"/>
  <c r="DL122" i="1"/>
  <c r="DK122" i="1"/>
  <c r="EA122" i="1"/>
  <c r="DZ122" i="1"/>
  <c r="CW122" i="1"/>
  <c r="CW121" i="1"/>
  <c r="DC121" i="1"/>
  <c r="ED122" i="1"/>
  <c r="EC122" i="1"/>
  <c r="CZ122" i="1"/>
  <c r="DC122" i="1"/>
  <c r="DO122" i="1"/>
  <c r="DN122" i="1"/>
  <c r="CZ121" i="1"/>
  <c r="DX112" i="1"/>
  <c r="DI112" i="1"/>
  <c r="CT112" i="1"/>
  <c r="EA112" i="1"/>
  <c r="DL112" i="1"/>
  <c r="CW112" i="1"/>
  <c r="CV112" i="1"/>
  <c r="DW112" i="1"/>
  <c r="DZ112" i="1"/>
  <c r="ED112" i="1"/>
  <c r="EG112" i="1"/>
  <c r="DH112" i="1"/>
  <c r="DK112" i="1"/>
  <c r="DO112" i="1"/>
  <c r="DN112" i="1"/>
  <c r="DQ112" i="1"/>
  <c r="CS112" i="1"/>
  <c r="CZ112" i="1"/>
  <c r="CY112" i="1"/>
  <c r="DX102" i="1"/>
  <c r="DI102" i="1"/>
  <c r="CT102" i="1"/>
  <c r="CW102" i="1"/>
  <c r="DL102" i="1"/>
  <c r="DK102" i="1"/>
  <c r="EA102" i="1"/>
  <c r="DZ102" i="1"/>
  <c r="DW102" i="1"/>
  <c r="ED102" i="1"/>
  <c r="EG102" i="1"/>
  <c r="EC102" i="1"/>
  <c r="DH102" i="1"/>
  <c r="DO102" i="1"/>
  <c r="DN102" i="1"/>
  <c r="CZ102" i="1"/>
  <c r="CY102" i="1"/>
  <c r="CS102" i="1"/>
  <c r="CV102" i="1"/>
  <c r="EE92" i="1"/>
  <c r="EC92" i="1"/>
  <c r="ED92" i="1"/>
  <c r="EG92" i="1"/>
  <c r="EB92" i="1"/>
  <c r="DZ92" i="1"/>
  <c r="EA92" i="1"/>
  <c r="DY92" i="1"/>
  <c r="DX92" i="1"/>
  <c r="DW92" i="1"/>
  <c r="DP92" i="1"/>
  <c r="DN92" i="1"/>
  <c r="DO92" i="1"/>
  <c r="DR92" i="1"/>
  <c r="DM92" i="1"/>
  <c r="DK92" i="1"/>
  <c r="DL92" i="1"/>
  <c r="DJ92" i="1"/>
  <c r="DI92" i="1"/>
  <c r="DH92" i="1"/>
  <c r="CW92" i="1"/>
  <c r="CT92" i="1"/>
  <c r="DC92" i="1"/>
  <c r="DD92" i="1"/>
  <c r="DA92" i="1"/>
  <c r="CZ92" i="1"/>
  <c r="CX92" i="1"/>
  <c r="CU92" i="1"/>
  <c r="CY92" i="1"/>
  <c r="CV92" i="1"/>
  <c r="CS92" i="1"/>
  <c r="CT82" i="1"/>
  <c r="DI82" i="1"/>
  <c r="DX82" i="1"/>
  <c r="CW82" i="1"/>
  <c r="DL82" i="1"/>
  <c r="EA82" i="1"/>
  <c r="DZ82" i="1"/>
  <c r="CS82" i="1"/>
  <c r="CV82" i="1"/>
  <c r="CZ82" i="1"/>
  <c r="DH82" i="1"/>
  <c r="DK82" i="1"/>
  <c r="DN82" i="1"/>
  <c r="DO82" i="1"/>
  <c r="DW82" i="1"/>
  <c r="ED82" i="1"/>
  <c r="EC82" i="1"/>
  <c r="DI72" i="1"/>
  <c r="CT72" i="1"/>
  <c r="CW72" i="1"/>
  <c r="DL72" i="1"/>
  <c r="DO72" i="1"/>
  <c r="DN72" i="1"/>
  <c r="DK72" i="1"/>
  <c r="DH72" i="1"/>
  <c r="CS72" i="1"/>
  <c r="CV72" i="1"/>
  <c r="CZ72" i="1"/>
  <c r="DX62" i="1"/>
  <c r="DW62" i="1"/>
  <c r="DI62" i="1"/>
  <c r="DH62" i="1"/>
  <c r="CT62" i="1"/>
  <c r="DC62" i="1"/>
  <c r="CW62" i="1"/>
  <c r="CV62" i="1"/>
  <c r="DL62" i="1"/>
  <c r="DR62" i="1"/>
  <c r="DZ62" i="1"/>
  <c r="EA62" i="1"/>
  <c r="ED62" i="1"/>
  <c r="EC62" i="1"/>
  <c r="EF62" i="1"/>
  <c r="DO62" i="1"/>
  <c r="DN62" i="1"/>
  <c r="CZ62" i="1"/>
  <c r="CY62" i="1"/>
  <c r="EG162" i="1"/>
  <c r="EF162" i="1"/>
  <c r="EG161" i="1"/>
  <c r="EG160" i="1"/>
  <c r="EH160" i="1"/>
  <c r="EF160" i="1"/>
  <c r="EG159" i="1"/>
  <c r="EF159" i="1"/>
  <c r="EH159" i="1"/>
  <c r="EH152" i="1"/>
  <c r="EG152" i="1"/>
  <c r="EF152" i="1"/>
  <c r="EG151" i="1"/>
  <c r="EG150" i="1"/>
  <c r="EF150" i="1"/>
  <c r="EH150" i="1"/>
  <c r="EG149" i="1"/>
  <c r="EF149" i="1"/>
  <c r="EH149" i="1"/>
  <c r="EG148" i="1"/>
  <c r="EF148" i="1"/>
  <c r="EH148" i="1"/>
  <c r="EG142" i="1"/>
  <c r="EG141" i="1"/>
  <c r="EG140" i="1"/>
  <c r="EF140" i="1"/>
  <c r="EH140" i="1"/>
  <c r="EH139" i="1"/>
  <c r="EG139" i="1"/>
  <c r="EF139" i="1"/>
  <c r="EG138" i="1"/>
  <c r="EF138" i="1"/>
  <c r="EH138" i="1"/>
  <c r="EG131" i="1"/>
  <c r="EG130" i="1"/>
  <c r="EF130" i="1"/>
  <c r="EH130" i="1"/>
  <c r="EG129" i="1"/>
  <c r="EH129" i="1"/>
  <c r="EF129" i="1"/>
  <c r="EG128" i="1"/>
  <c r="EF128" i="1"/>
  <c r="EH128" i="1"/>
  <c r="EG122" i="1"/>
  <c r="EG121" i="1"/>
  <c r="EG120" i="1"/>
  <c r="EF120" i="1"/>
  <c r="EH120" i="1"/>
  <c r="EG119" i="1"/>
  <c r="EF119" i="1"/>
  <c r="EH119" i="1"/>
  <c r="EG118" i="1"/>
  <c r="EF118" i="1"/>
  <c r="EH118" i="1"/>
  <c r="EG111" i="1"/>
  <c r="EH111" i="1"/>
  <c r="EF111" i="1"/>
  <c r="EG110" i="1"/>
  <c r="EF110" i="1"/>
  <c r="EH110" i="1"/>
  <c r="EG109" i="1"/>
  <c r="EF109" i="1"/>
  <c r="EH109" i="1"/>
  <c r="EH108" i="1"/>
  <c r="EG108" i="1"/>
  <c r="EF108" i="1"/>
  <c r="EG101" i="1"/>
  <c r="EF101" i="1"/>
  <c r="EH101" i="1"/>
  <c r="EG100" i="1"/>
  <c r="EF100" i="1"/>
  <c r="EH100" i="1"/>
  <c r="EG99" i="1"/>
  <c r="EF99" i="1"/>
  <c r="EH99" i="1"/>
  <c r="EG98" i="1"/>
  <c r="EH98" i="1"/>
  <c r="EF98" i="1"/>
  <c r="EG91" i="1"/>
  <c r="EF91" i="1"/>
  <c r="EH91" i="1"/>
  <c r="EH90" i="1"/>
  <c r="EG90" i="1"/>
  <c r="EF90" i="1"/>
  <c r="EG89" i="1"/>
  <c r="EF89" i="1"/>
  <c r="EH89" i="1"/>
  <c r="EG88" i="1"/>
  <c r="EF88" i="1"/>
  <c r="EH88" i="1"/>
  <c r="EG82" i="1"/>
  <c r="EG81" i="1"/>
  <c r="EF81" i="1"/>
  <c r="EH81" i="1"/>
  <c r="EG80" i="1"/>
  <c r="EH80" i="1"/>
  <c r="EF80" i="1"/>
  <c r="EG79" i="1"/>
  <c r="EF79" i="1"/>
  <c r="EH79" i="1"/>
  <c r="EG78" i="1"/>
  <c r="EF78" i="1"/>
  <c r="EH78" i="1"/>
  <c r="EG61" i="1"/>
  <c r="EF61" i="1"/>
  <c r="EH61" i="1"/>
  <c r="EG60" i="1"/>
  <c r="EF60" i="1"/>
  <c r="EH60" i="1"/>
  <c r="EG59" i="1"/>
  <c r="EF59" i="1"/>
  <c r="EH59" i="1"/>
  <c r="EG58" i="1"/>
  <c r="EF58" i="1"/>
  <c r="EH58" i="1"/>
  <c r="DR162" i="1"/>
  <c r="DR161" i="1"/>
  <c r="DR160" i="1"/>
  <c r="DS160" i="1"/>
  <c r="DQ160" i="1"/>
  <c r="DR159" i="1"/>
  <c r="DQ159" i="1"/>
  <c r="DS159" i="1"/>
  <c r="DR158" i="1"/>
  <c r="DQ158" i="1"/>
  <c r="DS158" i="1"/>
  <c r="DR152" i="1"/>
  <c r="DR151" i="1"/>
  <c r="DR150" i="1"/>
  <c r="DQ150" i="1"/>
  <c r="DS150" i="1"/>
  <c r="DR149" i="1"/>
  <c r="DQ149" i="1"/>
  <c r="DS149" i="1"/>
  <c r="DS148" i="1"/>
  <c r="DR148" i="1"/>
  <c r="DQ148" i="1"/>
  <c r="DR141" i="1"/>
  <c r="DR140" i="1"/>
  <c r="DQ140" i="1"/>
  <c r="DS140" i="1"/>
  <c r="DS139" i="1"/>
  <c r="DR139" i="1"/>
  <c r="DQ139" i="1"/>
  <c r="DR138" i="1"/>
  <c r="DS138" i="1"/>
  <c r="DQ138" i="1"/>
  <c r="DR132" i="1"/>
  <c r="DR131" i="1"/>
  <c r="DS130" i="1"/>
  <c r="DR130" i="1"/>
  <c r="DQ130" i="1"/>
  <c r="DR129" i="1"/>
  <c r="DS129" i="1"/>
  <c r="DQ129" i="1"/>
  <c r="DR128" i="1"/>
  <c r="DQ128" i="1"/>
  <c r="DS128" i="1"/>
  <c r="DR121" i="1"/>
  <c r="DR120" i="1"/>
  <c r="DS120" i="1"/>
  <c r="DQ120" i="1"/>
  <c r="DR119" i="1"/>
  <c r="DQ119" i="1"/>
  <c r="DS119" i="1"/>
  <c r="DR118" i="1"/>
  <c r="DQ118" i="1"/>
  <c r="DS118" i="1"/>
  <c r="DR112" i="1"/>
  <c r="DR111" i="1"/>
  <c r="DS111" i="1"/>
  <c r="DQ111" i="1"/>
  <c r="DR110" i="1"/>
  <c r="DQ110" i="1"/>
  <c r="DS110" i="1"/>
  <c r="DR109" i="1"/>
  <c r="DQ109" i="1"/>
  <c r="DS109" i="1"/>
  <c r="DR108" i="1"/>
  <c r="DQ108" i="1"/>
  <c r="DS108" i="1"/>
  <c r="DR102" i="1"/>
  <c r="DR101" i="1"/>
  <c r="DQ101" i="1"/>
  <c r="DS101" i="1"/>
  <c r="DR100" i="1"/>
  <c r="DQ100" i="1"/>
  <c r="DS100" i="1"/>
  <c r="DS99" i="1"/>
  <c r="DR99" i="1"/>
  <c r="DQ99" i="1"/>
  <c r="DR98" i="1"/>
  <c r="DS98" i="1"/>
  <c r="DQ98" i="1"/>
  <c r="DQ92" i="1"/>
  <c r="DR91" i="1"/>
  <c r="DQ91" i="1"/>
  <c r="DS91" i="1"/>
  <c r="DR90" i="1"/>
  <c r="DQ90" i="1"/>
  <c r="DS90" i="1"/>
  <c r="DR89" i="1"/>
  <c r="DS89" i="1"/>
  <c r="DQ89" i="1"/>
  <c r="DR88" i="1"/>
  <c r="DQ88" i="1"/>
  <c r="DS88" i="1"/>
  <c r="DR82" i="1"/>
  <c r="DS81" i="1"/>
  <c r="DR81" i="1"/>
  <c r="DQ81" i="1"/>
  <c r="DR80" i="1"/>
  <c r="DS80" i="1"/>
  <c r="DQ80" i="1"/>
  <c r="DR79" i="1"/>
  <c r="DQ79" i="1"/>
  <c r="DS79" i="1"/>
  <c r="DR78" i="1"/>
  <c r="DQ78" i="1"/>
  <c r="DS78" i="1"/>
  <c r="DR72" i="1"/>
  <c r="DR71" i="1"/>
  <c r="DS71" i="1"/>
  <c r="DQ71" i="1"/>
  <c r="DR70" i="1"/>
  <c r="DQ70" i="1"/>
  <c r="DS70" i="1"/>
  <c r="DR69" i="1"/>
  <c r="DQ69" i="1"/>
  <c r="DS69" i="1"/>
  <c r="DS68" i="1"/>
  <c r="DR68" i="1"/>
  <c r="DQ68" i="1"/>
  <c r="DR61" i="1"/>
  <c r="DQ61" i="1"/>
  <c r="DS61" i="1"/>
  <c r="DR60" i="1"/>
  <c r="DQ60" i="1"/>
  <c r="DS60" i="1"/>
  <c r="DR59" i="1"/>
  <c r="DQ59" i="1"/>
  <c r="DS59" i="1"/>
  <c r="DR58" i="1"/>
  <c r="DS58" i="1"/>
  <c r="DQ58" i="1"/>
  <c r="DC162" i="1"/>
  <c r="DC161" i="1"/>
  <c r="DC160" i="1"/>
  <c r="DD160" i="1"/>
  <c r="DB160" i="1"/>
  <c r="DC159" i="1"/>
  <c r="DD159" i="1"/>
  <c r="DB159" i="1"/>
  <c r="DC158" i="1"/>
  <c r="DB158" i="1"/>
  <c r="DD158" i="1"/>
  <c r="DC152" i="1"/>
  <c r="DC151" i="1"/>
  <c r="DC150" i="1"/>
  <c r="DB150" i="1"/>
  <c r="DD150" i="1"/>
  <c r="DC149" i="1"/>
  <c r="DB149" i="1"/>
  <c r="DD149" i="1"/>
  <c r="DC148" i="1"/>
  <c r="DB148" i="1"/>
  <c r="DD148" i="1"/>
  <c r="DC142" i="1"/>
  <c r="DC141" i="1"/>
  <c r="DC140" i="1"/>
  <c r="DB140" i="1"/>
  <c r="DD140" i="1"/>
  <c r="DC139" i="1"/>
  <c r="DB139" i="1"/>
  <c r="DD139" i="1"/>
  <c r="DD138" i="1"/>
  <c r="DC138" i="1"/>
  <c r="DB138" i="1"/>
  <c r="DC131" i="1"/>
  <c r="DC130" i="1"/>
  <c r="DB130" i="1"/>
  <c r="DD130" i="1"/>
  <c r="DC129" i="1"/>
  <c r="DD129" i="1"/>
  <c r="DB129" i="1"/>
  <c r="DC128" i="1"/>
  <c r="DD128" i="1"/>
  <c r="DB128" i="1"/>
  <c r="DD120" i="1"/>
  <c r="DC120" i="1"/>
  <c r="DB120" i="1"/>
  <c r="DC119" i="1"/>
  <c r="DB119" i="1"/>
  <c r="DD119" i="1"/>
  <c r="DC118" i="1"/>
  <c r="DB118" i="1"/>
  <c r="DD118" i="1"/>
  <c r="DC112" i="1"/>
  <c r="DC111" i="1"/>
  <c r="DB111" i="1"/>
  <c r="DD111" i="1"/>
  <c r="DC110" i="1"/>
  <c r="DD110" i="1"/>
  <c r="DB110" i="1"/>
  <c r="DC109" i="1"/>
  <c r="DB109" i="1"/>
  <c r="DD109" i="1"/>
  <c r="DC108" i="1"/>
  <c r="DB108" i="1"/>
  <c r="DD108" i="1"/>
  <c r="DC101" i="1"/>
  <c r="DB101" i="1"/>
  <c r="DD101" i="1"/>
  <c r="DC100" i="1"/>
  <c r="DB100" i="1"/>
  <c r="DD100" i="1"/>
  <c r="DC99" i="1"/>
  <c r="DB99" i="1"/>
  <c r="DD99" i="1"/>
  <c r="DC98" i="1"/>
  <c r="DB98" i="1"/>
  <c r="DD98" i="1"/>
  <c r="DB92" i="1"/>
  <c r="DC91" i="1"/>
  <c r="DB91" i="1"/>
  <c r="DD91" i="1"/>
  <c r="DC90" i="1"/>
  <c r="DB90" i="1"/>
  <c r="DD90" i="1"/>
  <c r="DD89" i="1"/>
  <c r="DC89" i="1"/>
  <c r="DB89" i="1"/>
  <c r="DC88" i="1"/>
  <c r="DB88" i="1"/>
  <c r="DD88" i="1"/>
  <c r="DC81" i="1"/>
  <c r="DB81" i="1"/>
  <c r="DD81" i="1"/>
  <c r="DC80" i="1"/>
  <c r="DB80" i="1"/>
  <c r="DD80" i="1"/>
  <c r="DC79" i="1"/>
  <c r="DD79" i="1"/>
  <c r="DB79" i="1"/>
  <c r="DC78" i="1"/>
  <c r="DB78" i="1"/>
  <c r="DD78" i="1"/>
  <c r="DD71" i="1"/>
  <c r="DC71" i="1"/>
  <c r="DB71" i="1"/>
  <c r="DC70" i="1"/>
  <c r="DB70" i="1"/>
  <c r="DD70" i="1"/>
  <c r="DC69" i="1"/>
  <c r="DB69" i="1"/>
  <c r="DD69" i="1"/>
  <c r="DC68" i="1"/>
  <c r="DB68" i="1"/>
  <c r="DD68" i="1"/>
  <c r="DC61" i="1"/>
  <c r="DD61" i="1"/>
  <c r="DB61" i="1"/>
  <c r="DC60" i="1"/>
  <c r="DB60" i="1"/>
  <c r="DD60" i="1"/>
  <c r="DC59" i="1"/>
  <c r="DB59" i="1"/>
  <c r="DD59" i="1"/>
  <c r="DD58" i="1"/>
  <c r="DC58" i="1"/>
  <c r="DB58" i="1"/>
  <c r="DC52" i="1"/>
  <c r="DB52" i="1"/>
  <c r="DD52" i="1"/>
  <c r="DC51" i="1"/>
  <c r="DB51" i="1"/>
  <c r="DD51" i="1"/>
  <c r="DC50" i="1"/>
  <c r="DB50" i="1"/>
  <c r="DD50" i="1"/>
  <c r="DC49" i="1"/>
  <c r="DB49" i="1"/>
  <c r="DD49" i="1"/>
  <c r="DC48" i="1"/>
  <c r="DD48" i="1"/>
  <c r="DB48" i="1"/>
  <c r="DC42" i="1"/>
  <c r="DD42" i="1"/>
  <c r="DB42" i="1"/>
  <c r="DC41" i="1"/>
  <c r="DB41" i="1"/>
  <c r="DD41" i="1"/>
  <c r="DC40" i="1"/>
  <c r="DB40" i="1"/>
  <c r="DD40" i="1"/>
  <c r="DD39" i="1"/>
  <c r="DC39" i="1"/>
  <c r="DB39" i="1"/>
  <c r="DC38" i="1"/>
  <c r="DB38" i="1"/>
  <c r="DD38" i="1"/>
  <c r="DH52" i="1"/>
  <c r="CS52" i="1"/>
  <c r="CV52" i="1"/>
  <c r="DK52" i="1"/>
  <c r="DR52" i="1"/>
  <c r="DQ52" i="1"/>
  <c r="DS52" i="1"/>
  <c r="DN52" i="1"/>
  <c r="CY52" i="1"/>
  <c r="CS42" i="1"/>
  <c r="DW42" i="1"/>
  <c r="DH42" i="1"/>
  <c r="DZ42" i="1"/>
  <c r="CV42" i="1"/>
  <c r="DK42" i="1"/>
  <c r="EC42" i="1"/>
  <c r="DN42" i="1"/>
  <c r="DQ42" i="1"/>
  <c r="DS42" i="1"/>
  <c r="CY42" i="1"/>
  <c r="EG42" i="1"/>
  <c r="EF42" i="1"/>
  <c r="EH42" i="1"/>
  <c r="DR42" i="1"/>
  <c r="DH32" i="1"/>
  <c r="CS32" i="1"/>
  <c r="CV32" i="1"/>
  <c r="DK32" i="1"/>
  <c r="CY32" i="1"/>
  <c r="DN32" i="1"/>
  <c r="DR32" i="1"/>
  <c r="DC32" i="1"/>
  <c r="DR22" i="1"/>
  <c r="CT22" i="1"/>
  <c r="CS22" i="1"/>
  <c r="DB22" i="1"/>
  <c r="DD22" i="1"/>
  <c r="DI22" i="1"/>
  <c r="DH22" i="1"/>
  <c r="DX22" i="1"/>
  <c r="DW22" i="1"/>
  <c r="DC22" i="1"/>
  <c r="CW22" i="1"/>
  <c r="CV22" i="1"/>
  <c r="DL22" i="1"/>
  <c r="DK22" i="1"/>
  <c r="DZ22" i="1"/>
  <c r="EA22" i="1"/>
  <c r="CY22" i="1"/>
  <c r="CZ22" i="1"/>
  <c r="ED22" i="1"/>
  <c r="EC22" i="1"/>
  <c r="EF22" i="1"/>
  <c r="DO22" i="1"/>
  <c r="DN22" i="1"/>
  <c r="EF142" i="1"/>
  <c r="EH142" i="1"/>
  <c r="DR142" i="1"/>
  <c r="EG132" i="1"/>
  <c r="EH132" i="1"/>
  <c r="CY132" i="1"/>
  <c r="EF122" i="1"/>
  <c r="EH122" i="1"/>
  <c r="DR122" i="1"/>
  <c r="EH162" i="1"/>
  <c r="DS112" i="1"/>
  <c r="DB112" i="1"/>
  <c r="DD112" i="1"/>
  <c r="EC112" i="1"/>
  <c r="EF112" i="1"/>
  <c r="EH112" i="1"/>
  <c r="EF102" i="1"/>
  <c r="EH102" i="1"/>
  <c r="DQ102" i="1"/>
  <c r="DS102" i="1"/>
  <c r="DB102" i="1"/>
  <c r="DD102" i="1"/>
  <c r="DC102" i="1"/>
  <c r="EF92" i="1"/>
  <c r="EH92" i="1"/>
  <c r="DS92" i="1"/>
  <c r="DC82" i="1"/>
  <c r="EF82" i="1"/>
  <c r="EH82" i="1"/>
  <c r="DQ82" i="1"/>
  <c r="DS82" i="1"/>
  <c r="CY82" i="1"/>
  <c r="DB82" i="1"/>
  <c r="DQ72" i="1"/>
  <c r="DS72" i="1"/>
  <c r="DC72" i="1"/>
  <c r="CY72" i="1"/>
  <c r="DB72" i="1"/>
  <c r="EG62" i="1"/>
  <c r="EH62" i="1"/>
  <c r="DK62" i="1"/>
  <c r="DQ62" i="1"/>
  <c r="DS62" i="1"/>
  <c r="CS62" i="1"/>
  <c r="DB62" i="1"/>
  <c r="DD62" i="1"/>
  <c r="DB32" i="1"/>
  <c r="DD32" i="1"/>
  <c r="DQ22" i="1"/>
  <c r="DS22" i="1"/>
  <c r="EG22" i="1"/>
  <c r="EH22" i="1"/>
  <c r="DW12" i="1"/>
  <c r="DH12" i="1"/>
  <c r="DZ12" i="1"/>
  <c r="DK12" i="1"/>
  <c r="DQ12" i="1"/>
  <c r="DS12" i="1"/>
  <c r="DR12" i="1"/>
  <c r="EG12" i="1"/>
  <c r="EC12" i="1"/>
  <c r="EF12" i="1"/>
  <c r="EH12" i="1"/>
  <c r="CY12" i="1"/>
  <c r="DN12" i="1"/>
  <c r="M22" i="121"/>
  <c r="O22" i="121"/>
  <c r="M33" i="121"/>
  <c r="O33" i="121"/>
  <c r="M32" i="121"/>
  <c r="O32" i="121"/>
  <c r="M31" i="121"/>
  <c r="O31" i="121"/>
  <c r="M30" i="121"/>
  <c r="O30" i="121"/>
  <c r="M29" i="121"/>
  <c r="O29" i="121"/>
  <c r="M28" i="121"/>
  <c r="O28" i="121"/>
  <c r="M27" i="121"/>
  <c r="O27" i="121"/>
  <c r="M25" i="121"/>
  <c r="O25" i="121"/>
  <c r="M24" i="121"/>
  <c r="O24" i="121"/>
  <c r="M23" i="121"/>
  <c r="O23" i="121"/>
  <c r="M21" i="121"/>
  <c r="O21" i="121"/>
  <c r="M20" i="121"/>
  <c r="O20" i="121"/>
  <c r="M19" i="121"/>
  <c r="O19" i="121"/>
  <c r="M18" i="121"/>
  <c r="O18" i="121"/>
  <c r="M17" i="121"/>
  <c r="O17" i="121"/>
  <c r="M16" i="121"/>
  <c r="O16" i="121"/>
  <c r="M15" i="121"/>
  <c r="O15" i="121"/>
  <c r="M14" i="121"/>
  <c r="H33" i="121"/>
  <c r="J33" i="121"/>
  <c r="H25" i="121"/>
  <c r="J25" i="121"/>
  <c r="H24" i="121"/>
  <c r="J24" i="121"/>
  <c r="H23" i="121"/>
  <c r="J23" i="121"/>
  <c r="H22" i="121"/>
  <c r="J22" i="121"/>
  <c r="H21" i="121"/>
  <c r="J21" i="121"/>
  <c r="H20" i="121"/>
  <c r="J20" i="121"/>
  <c r="H19" i="121"/>
  <c r="J19" i="121"/>
  <c r="H18" i="121"/>
  <c r="J18" i="121"/>
  <c r="H17" i="121"/>
  <c r="J17" i="121"/>
  <c r="H16" i="121"/>
  <c r="J16" i="121"/>
  <c r="H15" i="121"/>
  <c r="J15" i="121"/>
  <c r="H14" i="121"/>
  <c r="C33" i="121"/>
  <c r="E33" i="121"/>
  <c r="C32" i="121"/>
  <c r="E32" i="121"/>
  <c r="C31" i="121"/>
  <c r="E31" i="121"/>
  <c r="C30" i="121"/>
  <c r="E30" i="121"/>
  <c r="C29" i="121"/>
  <c r="E29" i="121"/>
  <c r="C28" i="121"/>
  <c r="E28" i="121"/>
  <c r="C27" i="121"/>
  <c r="E27" i="121"/>
  <c r="C26" i="121"/>
  <c r="E26" i="121"/>
  <c r="C25" i="121"/>
  <c r="E25" i="121"/>
  <c r="C24" i="121"/>
  <c r="E24" i="121"/>
  <c r="C23" i="121"/>
  <c r="E23" i="121"/>
  <c r="C22" i="121"/>
  <c r="E22" i="121"/>
  <c r="C21" i="121"/>
  <c r="H34" i="121"/>
  <c r="J14" i="121"/>
  <c r="J34" i="121"/>
  <c r="J35" i="121"/>
  <c r="E21" i="121"/>
  <c r="E34" i="121"/>
  <c r="E35" i="121"/>
  <c r="C34" i="121"/>
  <c r="M34" i="121"/>
  <c r="O14" i="121"/>
  <c r="O34" i="121"/>
  <c r="O35" i="121"/>
  <c r="DD82" i="1"/>
  <c r="DD72" i="1"/>
  <c r="EI162" i="1"/>
  <c r="DT162" i="1"/>
  <c r="DQ162" i="1"/>
  <c r="DS162" i="1"/>
  <c r="DE162" i="1"/>
  <c r="DB162" i="1"/>
  <c r="DD162" i="1"/>
  <c r="AX162" i="1"/>
  <c r="AQ162" i="1"/>
  <c r="AL162" i="1"/>
  <c r="AG162" i="1"/>
  <c r="Y162" i="1"/>
  <c r="W162" i="1"/>
  <c r="M162" i="1"/>
  <c r="L162" i="1"/>
  <c r="H162" i="1"/>
  <c r="Q162" i="1"/>
  <c r="G162" i="1"/>
  <c r="S162" i="1"/>
  <c r="EI161" i="1"/>
  <c r="EC161" i="1"/>
  <c r="DZ161" i="1"/>
  <c r="DW161" i="1"/>
  <c r="DT161" i="1"/>
  <c r="DN161" i="1"/>
  <c r="DK161" i="1"/>
  <c r="DH161" i="1"/>
  <c r="DE161" i="1"/>
  <c r="CY161" i="1"/>
  <c r="CS161" i="1"/>
  <c r="CD161" i="1"/>
  <c r="AX161" i="1"/>
  <c r="AQ161" i="1"/>
  <c r="AL161" i="1"/>
  <c r="AG161" i="1"/>
  <c r="Y161" i="1"/>
  <c r="Z161" i="1"/>
  <c r="AA161" i="1"/>
  <c r="W161" i="1"/>
  <c r="X161" i="1"/>
  <c r="M161" i="1"/>
  <c r="L161" i="1"/>
  <c r="H161" i="1"/>
  <c r="Q161" i="1"/>
  <c r="G161" i="1"/>
  <c r="R161" i="1"/>
  <c r="EI160" i="1"/>
  <c r="EC160" i="1"/>
  <c r="DZ160" i="1"/>
  <c r="DW160" i="1"/>
  <c r="DT160" i="1"/>
  <c r="DN160" i="1"/>
  <c r="DK160" i="1"/>
  <c r="DH160" i="1"/>
  <c r="DE160" i="1"/>
  <c r="CY160" i="1"/>
  <c r="CW160" i="1"/>
  <c r="CS160" i="1"/>
  <c r="AV160" i="1"/>
  <c r="AT160" i="1"/>
  <c r="AQ160" i="1"/>
  <c r="AL160" i="1"/>
  <c r="AG160" i="1"/>
  <c r="AS160" i="1"/>
  <c r="Y160" i="1"/>
  <c r="W160" i="1"/>
  <c r="M160" i="1"/>
  <c r="L160" i="1"/>
  <c r="H160" i="1"/>
  <c r="Q160" i="1"/>
  <c r="G160" i="1"/>
  <c r="N160" i="1"/>
  <c r="DQ161" i="1"/>
  <c r="DS161" i="1"/>
  <c r="EF161" i="1"/>
  <c r="EH161" i="1"/>
  <c r="DB161" i="1"/>
  <c r="DD161" i="1"/>
  <c r="S161" i="1"/>
  <c r="Z162" i="1"/>
  <c r="AA162" i="1"/>
  <c r="AX160" i="1"/>
  <c r="CD160" i="1"/>
  <c r="AS161" i="1"/>
  <c r="AS162" i="1"/>
  <c r="X162" i="1"/>
  <c r="O160" i="1"/>
  <c r="BE160" i="1"/>
  <c r="N161" i="1"/>
  <c r="AY162" i="1"/>
  <c r="AZ162" i="1"/>
  <c r="R162" i="1"/>
  <c r="CE161" i="1"/>
  <c r="CD162" i="1"/>
  <c r="O161" i="1"/>
  <c r="AR160" i="1"/>
  <c r="P160" i="1"/>
  <c r="BT160" i="1"/>
  <c r="AR162" i="1"/>
  <c r="R160" i="1"/>
  <c r="S160" i="1"/>
  <c r="N162" i="1"/>
  <c r="O162" i="1"/>
  <c r="P162" i="1"/>
  <c r="BT162" i="1"/>
  <c r="BG160" i="1"/>
  <c r="BH160" i="1"/>
  <c r="AR161" i="1"/>
  <c r="BM160" i="1"/>
  <c r="BN160" i="1"/>
  <c r="CE162" i="1"/>
  <c r="AV52" i="1"/>
  <c r="BS122" i="1"/>
  <c r="BS92" i="1"/>
  <c r="BR92" i="1"/>
  <c r="BM52" i="1"/>
  <c r="CE160" i="1"/>
  <c r="BK160" i="1"/>
  <c r="BQ160" i="1"/>
  <c r="BA162" i="1"/>
  <c r="BG162" i="1"/>
  <c r="BH162" i="1"/>
  <c r="BM162" i="1"/>
  <c r="BN162" i="1"/>
  <c r="BE162" i="1"/>
  <c r="BG161" i="1"/>
  <c r="BH161" i="1"/>
  <c r="BM161" i="1"/>
  <c r="BN161" i="1"/>
  <c r="BE161" i="1"/>
  <c r="BQ162" i="1"/>
  <c r="BK162" i="1"/>
  <c r="BC162" i="1"/>
  <c r="BB162" i="1"/>
  <c r="P161" i="1"/>
  <c r="BT161" i="1"/>
  <c r="BQ52" i="1"/>
  <c r="BN52" i="1"/>
  <c r="BE52" i="1"/>
  <c r="J20" i="1"/>
  <c r="K20" i="1"/>
  <c r="I20" i="1"/>
  <c r="J21" i="1"/>
  <c r="I21" i="1"/>
  <c r="BU160" i="1"/>
  <c r="BQ161" i="1"/>
  <c r="BK161" i="1"/>
  <c r="BU162" i="1"/>
  <c r="BW160" i="1"/>
  <c r="BY160" i="1"/>
  <c r="BZ160" i="1"/>
  <c r="BV160" i="1"/>
  <c r="DF112" i="1"/>
  <c r="DE112" i="1"/>
  <c r="EJ112" i="1"/>
  <c r="EI112" i="1"/>
  <c r="DU112" i="1"/>
  <c r="DT112" i="1"/>
  <c r="BS112" i="1"/>
  <c r="BR112" i="1"/>
  <c r="BG112" i="1"/>
  <c r="BH112" i="1"/>
  <c r="AW112" i="1"/>
  <c r="AX112" i="1"/>
  <c r="CD112" i="1"/>
  <c r="AV112" i="1"/>
  <c r="AV111" i="1"/>
  <c r="AQ112" i="1"/>
  <c r="AL112" i="1"/>
  <c r="AG112" i="1"/>
  <c r="AR112" i="1"/>
  <c r="Y112" i="1"/>
  <c r="W112" i="1"/>
  <c r="J112" i="1"/>
  <c r="I112" i="1"/>
  <c r="M112" i="1"/>
  <c r="G112" i="1"/>
  <c r="R112" i="1"/>
  <c r="S112" i="1"/>
  <c r="H112" i="1"/>
  <c r="Q112" i="1"/>
  <c r="I111" i="1"/>
  <c r="I110" i="1"/>
  <c r="AS112" i="1"/>
  <c r="O112" i="1"/>
  <c r="P112" i="1"/>
  <c r="BT112" i="1"/>
  <c r="L112" i="1"/>
  <c r="N112" i="1"/>
  <c r="CC160" i="1"/>
  <c r="CB160" i="1"/>
  <c r="CA160" i="1"/>
  <c r="CE112" i="1"/>
  <c r="BW162" i="1"/>
  <c r="CI162" i="1"/>
  <c r="BV162" i="1"/>
  <c r="CF162" i="1"/>
  <c r="BY162" i="1"/>
  <c r="BZ162" i="1"/>
  <c r="BU161" i="1"/>
  <c r="BK112" i="1"/>
  <c r="BN112" i="1"/>
  <c r="BQ112" i="1"/>
  <c r="BH152" i="1"/>
  <c r="BE152" i="1"/>
  <c r="AW152" i="1"/>
  <c r="AV152" i="1"/>
  <c r="AQ152" i="1"/>
  <c r="AL152" i="1"/>
  <c r="AG152" i="1"/>
  <c r="DE152" i="1"/>
  <c r="DB152" i="1"/>
  <c r="DD152" i="1"/>
  <c r="DT152" i="1"/>
  <c r="DQ152" i="1"/>
  <c r="DS152" i="1"/>
  <c r="EI152" i="1"/>
  <c r="W152" i="1"/>
  <c r="Y152" i="1"/>
  <c r="L152" i="1"/>
  <c r="M152" i="1"/>
  <c r="G152" i="1"/>
  <c r="S152" i="1"/>
  <c r="R152" i="1"/>
  <c r="H152" i="1"/>
  <c r="Q152" i="1"/>
  <c r="DE142" i="1"/>
  <c r="DB142" i="1"/>
  <c r="DD142" i="1"/>
  <c r="DT142" i="1"/>
  <c r="DQ142" i="1"/>
  <c r="DS142" i="1"/>
  <c r="EI142" i="1"/>
  <c r="BN142" i="1"/>
  <c r="BQ142" i="1"/>
  <c r="AW142" i="1"/>
  <c r="AV142" i="1"/>
  <c r="AX142" i="1"/>
  <c r="CD142" i="1"/>
  <c r="AT142" i="1"/>
  <c r="AQ142" i="1"/>
  <c r="AL142" i="1"/>
  <c r="AG142" i="1"/>
  <c r="W142" i="1"/>
  <c r="Y142" i="1"/>
  <c r="L142" i="1"/>
  <c r="M142" i="1"/>
  <c r="G142" i="1"/>
  <c r="S142" i="1"/>
  <c r="R142" i="1"/>
  <c r="H142" i="1"/>
  <c r="Q142" i="1"/>
  <c r="BN132" i="1"/>
  <c r="BO132" i="1"/>
  <c r="AX132" i="1"/>
  <c r="AL132" i="1"/>
  <c r="AQ132" i="1"/>
  <c r="AG132" i="1"/>
  <c r="L132" i="1"/>
  <c r="W132" i="1"/>
  <c r="Y132" i="1"/>
  <c r="J132" i="1"/>
  <c r="I132" i="1"/>
  <c r="M132" i="1"/>
  <c r="DE132" i="1"/>
  <c r="DB132" i="1"/>
  <c r="DD132" i="1"/>
  <c r="DT132" i="1"/>
  <c r="DQ132" i="1"/>
  <c r="DS132" i="1"/>
  <c r="EI132" i="1"/>
  <c r="G132" i="1"/>
  <c r="R132" i="1"/>
  <c r="H132" i="1"/>
  <c r="Q132" i="1"/>
  <c r="DF122" i="1"/>
  <c r="DE122" i="1"/>
  <c r="DB122" i="1"/>
  <c r="DD122" i="1"/>
  <c r="DU122" i="1"/>
  <c r="DT122" i="1"/>
  <c r="DQ122" i="1"/>
  <c r="DS122" i="1"/>
  <c r="EJ122" i="1"/>
  <c r="EI122" i="1"/>
  <c r="CD122" i="1"/>
  <c r="BE122" i="1"/>
  <c r="AX122" i="1"/>
  <c r="CE122" i="1"/>
  <c r="AL122" i="1"/>
  <c r="AQ122" i="1"/>
  <c r="AG122" i="1"/>
  <c r="Q122" i="1"/>
  <c r="W122" i="1"/>
  <c r="Y122" i="1"/>
  <c r="J122" i="1"/>
  <c r="G122" i="1"/>
  <c r="R122" i="1"/>
  <c r="H122" i="1"/>
  <c r="I122" i="1"/>
  <c r="DE102" i="1"/>
  <c r="DT102" i="1"/>
  <c r="EI102" i="1"/>
  <c r="BS102" i="1"/>
  <c r="BF101" i="1"/>
  <c r="BE102" i="1"/>
  <c r="AW102" i="1"/>
  <c r="AX102" i="1"/>
  <c r="L102" i="1"/>
  <c r="W102" i="1"/>
  <c r="Y102" i="1"/>
  <c r="I102" i="1"/>
  <c r="M102" i="1"/>
  <c r="J102" i="1"/>
  <c r="G102" i="1"/>
  <c r="N102" i="1"/>
  <c r="H102" i="1"/>
  <c r="AQ102" i="1"/>
  <c r="AL102" i="1"/>
  <c r="AG102" i="1"/>
  <c r="AS102" i="1"/>
  <c r="EI92" i="1"/>
  <c r="DT92" i="1"/>
  <c r="DE92" i="1"/>
  <c r="BN92" i="1"/>
  <c r="BE92" i="1"/>
  <c r="BE91" i="1"/>
  <c r="AX92" i="1"/>
  <c r="AQ92" i="1"/>
  <c r="AR92" i="1"/>
  <c r="AL92" i="1"/>
  <c r="AG92" i="1"/>
  <c r="AS92" i="1"/>
  <c r="Y92" i="1"/>
  <c r="W92" i="1"/>
  <c r="L92" i="1"/>
  <c r="M92" i="1"/>
  <c r="O92" i="1"/>
  <c r="P92" i="1"/>
  <c r="BT92" i="1"/>
  <c r="BH92" i="1"/>
  <c r="G92" i="1"/>
  <c r="R92" i="1"/>
  <c r="H92" i="1"/>
  <c r="Q92" i="1"/>
  <c r="DT72" i="1"/>
  <c r="DE72" i="1"/>
  <c r="AX72" i="1"/>
  <c r="AQ72" i="1"/>
  <c r="AL72" i="1"/>
  <c r="AR72" i="1"/>
  <c r="AG72" i="1"/>
  <c r="W72" i="1"/>
  <c r="Y72" i="1"/>
  <c r="L72" i="1"/>
  <c r="M72" i="1"/>
  <c r="G72" i="1"/>
  <c r="S72" i="1"/>
  <c r="H72" i="1"/>
  <c r="Q72" i="1"/>
  <c r="EI82" i="1"/>
  <c r="DT82" i="1"/>
  <c r="DE82" i="1"/>
  <c r="BS82" i="1"/>
  <c r="BN82" i="1"/>
  <c r="BH82" i="1"/>
  <c r="AX82" i="1"/>
  <c r="AM82" i="1"/>
  <c r="AQ82" i="1"/>
  <c r="AH82" i="1"/>
  <c r="AL82" i="1"/>
  <c r="AC82" i="1"/>
  <c r="AG82" i="1"/>
  <c r="Y82" i="1"/>
  <c r="M82" i="1"/>
  <c r="L82" i="1"/>
  <c r="H82" i="1"/>
  <c r="Q82" i="1"/>
  <c r="G82" i="1"/>
  <c r="N82" i="1"/>
  <c r="EJ62" i="1"/>
  <c r="EI62" i="1"/>
  <c r="DU62" i="1"/>
  <c r="DT62" i="1"/>
  <c r="DF62" i="1"/>
  <c r="DE62" i="1"/>
  <c r="BO62" i="1"/>
  <c r="BN62" i="1"/>
  <c r="BE62" i="1"/>
  <c r="AX62" i="1"/>
  <c r="CD62" i="1"/>
  <c r="AQ62" i="1"/>
  <c r="AR62" i="1"/>
  <c r="AL62" i="1"/>
  <c r="AG62" i="1"/>
  <c r="AS62" i="1"/>
  <c r="W62" i="1"/>
  <c r="Y62" i="1"/>
  <c r="K62" i="1"/>
  <c r="J62" i="1"/>
  <c r="M62" i="1"/>
  <c r="O62" i="1"/>
  <c r="I62" i="1"/>
  <c r="H62" i="1"/>
  <c r="Q62" i="1"/>
  <c r="G62" i="1"/>
  <c r="S62" i="1"/>
  <c r="M122" i="1"/>
  <c r="L122" i="1"/>
  <c r="N122" i="1"/>
  <c r="O132" i="1"/>
  <c r="P132" i="1"/>
  <c r="BT132" i="1"/>
  <c r="BH132" i="1"/>
  <c r="CD132" i="1"/>
  <c r="AS72" i="1"/>
  <c r="CD92" i="1"/>
  <c r="S102" i="1"/>
  <c r="N72" i="1"/>
  <c r="R102" i="1"/>
  <c r="S122" i="1"/>
  <c r="N92" i="1"/>
  <c r="CE72" i="1"/>
  <c r="O102" i="1"/>
  <c r="P102" i="1"/>
  <c r="AS132" i="1"/>
  <c r="O142" i="1"/>
  <c r="P142" i="1"/>
  <c r="BT142" i="1"/>
  <c r="BH142" i="1"/>
  <c r="AX152" i="1"/>
  <c r="CD152" i="1"/>
  <c r="CD102" i="1"/>
  <c r="CE102" i="1"/>
  <c r="O122" i="1"/>
  <c r="CH162" i="1"/>
  <c r="CM162" i="1"/>
  <c r="CN162" i="1"/>
  <c r="CO162" i="1"/>
  <c r="L62" i="1"/>
  <c r="N62" i="1"/>
  <c r="AR132" i="1"/>
  <c r="CD72" i="1"/>
  <c r="CE92" i="1"/>
  <c r="CE132" i="1"/>
  <c r="Q102" i="1"/>
  <c r="P122" i="1"/>
  <c r="BT122" i="1"/>
  <c r="N132" i="1"/>
  <c r="N142" i="1"/>
  <c r="R72" i="1"/>
  <c r="O152" i="1"/>
  <c r="P152" i="1"/>
  <c r="BT152" i="1"/>
  <c r="BK152" i="1"/>
  <c r="CA162" i="1"/>
  <c r="CB162" i="1"/>
  <c r="CG162" i="1"/>
  <c r="CC162" i="1"/>
  <c r="CJ162" i="1"/>
  <c r="S132" i="1"/>
  <c r="AR142" i="1"/>
  <c r="AR102" i="1"/>
  <c r="CE142" i="1"/>
  <c r="CK162" i="1"/>
  <c r="CE62" i="1"/>
  <c r="AR122" i="1"/>
  <c r="W82" i="1"/>
  <c r="O72" i="1"/>
  <c r="P72" i="1"/>
  <c r="BT72" i="1"/>
  <c r="BQ72" i="1"/>
  <c r="N152" i="1"/>
  <c r="AR152" i="1"/>
  <c r="BW161" i="1"/>
  <c r="BV161" i="1"/>
  <c r="BY161" i="1"/>
  <c r="BZ161" i="1"/>
  <c r="BU112" i="1"/>
  <c r="BQ152" i="1"/>
  <c r="BN152" i="1"/>
  <c r="AS152" i="1"/>
  <c r="AS142" i="1"/>
  <c r="BQ132" i="1"/>
  <c r="BK132" i="1"/>
  <c r="AS122" i="1"/>
  <c r="BQ92" i="1"/>
  <c r="BK92" i="1"/>
  <c r="S92" i="1"/>
  <c r="BN72" i="1"/>
  <c r="AS82" i="1"/>
  <c r="AR82" i="1"/>
  <c r="R82" i="1"/>
  <c r="S82" i="1"/>
  <c r="O82" i="1"/>
  <c r="P82" i="1"/>
  <c r="P62" i="1"/>
  <c r="BQ62" i="1"/>
  <c r="R62" i="1"/>
  <c r="CE152" i="1"/>
  <c r="BK72" i="1"/>
  <c r="BH72" i="1"/>
  <c r="BK142" i="1"/>
  <c r="BU142" i="1"/>
  <c r="BY142" i="1"/>
  <c r="BZ142" i="1"/>
  <c r="CB142" i="1"/>
  <c r="BV112" i="1"/>
  <c r="BY112" i="1"/>
  <c r="BZ112" i="1"/>
  <c r="BT102" i="1"/>
  <c r="BN102" i="1"/>
  <c r="BH122" i="1"/>
  <c r="BK122" i="1"/>
  <c r="BQ122" i="1"/>
  <c r="CA142" i="1"/>
  <c r="CC142" i="1"/>
  <c r="CB161" i="1"/>
  <c r="CA161" i="1"/>
  <c r="CC161" i="1"/>
  <c r="BT62" i="1"/>
  <c r="BK62" i="1"/>
  <c r="BH62" i="1"/>
  <c r="BW112" i="1"/>
  <c r="BU152" i="1"/>
  <c r="BV142" i="1"/>
  <c r="BW142" i="1"/>
  <c r="BU132" i="1"/>
  <c r="BU92" i="1"/>
  <c r="BY92" i="1"/>
  <c r="BZ92" i="1"/>
  <c r="BU72" i="1"/>
  <c r="BK82" i="1"/>
  <c r="BQ82" i="1"/>
  <c r="BU62" i="1"/>
  <c r="BY62" i="1"/>
  <c r="BZ62" i="1"/>
  <c r="BW152" i="1"/>
  <c r="BY152" i="1"/>
  <c r="BZ152" i="1"/>
  <c r="BH102" i="1"/>
  <c r="BQ102" i="1"/>
  <c r="BK102" i="1"/>
  <c r="CB112" i="1"/>
  <c r="CA112" i="1"/>
  <c r="CC112" i="1"/>
  <c r="BU122" i="1"/>
  <c r="BU82" i="1"/>
  <c r="BV82" i="1"/>
  <c r="BV152" i="1"/>
  <c r="CA92" i="1"/>
  <c r="CB92" i="1"/>
  <c r="CC92" i="1"/>
  <c r="BV132" i="1"/>
  <c r="BW132" i="1"/>
  <c r="BY132" i="1"/>
  <c r="BZ132" i="1"/>
  <c r="BV92" i="1"/>
  <c r="BW92" i="1"/>
  <c r="BW72" i="1"/>
  <c r="BY72" i="1"/>
  <c r="BZ72" i="1"/>
  <c r="BV72" i="1"/>
  <c r="BU102" i="1"/>
  <c r="BV102" i="1"/>
  <c r="BV62" i="1"/>
  <c r="BW62" i="1"/>
  <c r="BY122" i="1"/>
  <c r="BZ122" i="1"/>
  <c r="BV122" i="1"/>
  <c r="BW122" i="1"/>
  <c r="CA152" i="1"/>
  <c r="CB152" i="1"/>
  <c r="CC152" i="1"/>
  <c r="BW82" i="1"/>
  <c r="BY82" i="1"/>
  <c r="BZ82" i="1"/>
  <c r="CA82" i="1"/>
  <c r="CB62" i="1"/>
  <c r="CA62" i="1"/>
  <c r="CC62" i="1"/>
  <c r="CC132" i="1"/>
  <c r="CA132" i="1"/>
  <c r="CB132" i="1"/>
  <c r="CA72" i="1"/>
  <c r="CC72" i="1"/>
  <c r="CB72" i="1"/>
  <c r="BY102" i="1"/>
  <c r="BZ102" i="1"/>
  <c r="CC102" i="1"/>
  <c r="BW102" i="1"/>
  <c r="CB82" i="1"/>
  <c r="CC82" i="1"/>
  <c r="CB122" i="1"/>
  <c r="CA122" i="1"/>
  <c r="CC122" i="1"/>
  <c r="AW52" i="1"/>
  <c r="AX52" i="1"/>
  <c r="AQ52" i="1"/>
  <c r="AL52" i="1"/>
  <c r="AG52" i="1"/>
  <c r="Y52" i="1"/>
  <c r="W52" i="1"/>
  <c r="DE52" i="1"/>
  <c r="DT52" i="1"/>
  <c r="L52" i="1"/>
  <c r="M52" i="1"/>
  <c r="O52" i="1"/>
  <c r="G52" i="1"/>
  <c r="S52" i="1"/>
  <c r="R52" i="1"/>
  <c r="H52" i="1"/>
  <c r="Q52" i="1"/>
  <c r="AR52" i="1"/>
  <c r="N52" i="1"/>
  <c r="CA102" i="1"/>
  <c r="P52" i="1"/>
  <c r="BT52" i="1"/>
  <c r="BK52" i="1"/>
  <c r="BU52" i="1"/>
  <c r="BY52" i="1"/>
  <c r="BZ52" i="1"/>
  <c r="CB102" i="1"/>
  <c r="BH52" i="1"/>
  <c r="AS52" i="1"/>
  <c r="CE52" i="1"/>
  <c r="CD52" i="1"/>
  <c r="EI42" i="1"/>
  <c r="DT42" i="1"/>
  <c r="DE42" i="1"/>
  <c r="BO42" i="1"/>
  <c r="BN42" i="1"/>
  <c r="BE42" i="1"/>
  <c r="AW42" i="1"/>
  <c r="AX42" i="1"/>
  <c r="AQ42" i="1"/>
  <c r="AL42" i="1"/>
  <c r="AG42" i="1"/>
  <c r="Y42" i="1"/>
  <c r="W42" i="1"/>
  <c r="L42" i="1"/>
  <c r="N42" i="1"/>
  <c r="M42" i="1"/>
  <c r="G42" i="1"/>
  <c r="R42" i="1"/>
  <c r="S42" i="1"/>
  <c r="H42" i="1"/>
  <c r="Q42" i="1"/>
  <c r="BH32" i="1"/>
  <c r="BK32" i="1"/>
  <c r="BN32" i="1"/>
  <c r="BQ32" i="1"/>
  <c r="P42" i="1"/>
  <c r="BT42" i="1"/>
  <c r="BQ42" i="1"/>
  <c r="AR42" i="1"/>
  <c r="O42" i="1"/>
  <c r="CE42" i="1"/>
  <c r="CD42" i="1"/>
  <c r="BW52" i="1"/>
  <c r="BV52" i="1"/>
  <c r="CB52" i="1"/>
  <c r="CC52" i="1"/>
  <c r="CA52" i="1"/>
  <c r="AS42" i="1"/>
  <c r="BU42" i="1"/>
  <c r="BY42" i="1"/>
  <c r="BZ42" i="1"/>
  <c r="BK42" i="1"/>
  <c r="BH42" i="1"/>
  <c r="BV42" i="1"/>
  <c r="BW42" i="1"/>
  <c r="CB42" i="1"/>
  <c r="CA42" i="1"/>
  <c r="CC42" i="1"/>
  <c r="BS32" i="1"/>
  <c r="BR32" i="1"/>
  <c r="BE32" i="1"/>
  <c r="BU32" i="1"/>
  <c r="AX32" i="1"/>
  <c r="AQ32" i="1"/>
  <c r="AL32" i="1"/>
  <c r="AG32" i="1"/>
  <c r="Y32" i="1"/>
  <c r="W32" i="1"/>
  <c r="L32" i="1"/>
  <c r="N32" i="1"/>
  <c r="M32" i="1"/>
  <c r="G32" i="1"/>
  <c r="S32" i="1"/>
  <c r="H32" i="1"/>
  <c r="Q32" i="1"/>
  <c r="DE22" i="1"/>
  <c r="CZ21" i="1"/>
  <c r="CY21" i="1"/>
  <c r="CW21" i="1"/>
  <c r="CV21" i="1"/>
  <c r="CT21" i="1"/>
  <c r="CS21" i="1"/>
  <c r="CZ20" i="1"/>
  <c r="DB20" i="1"/>
  <c r="CW20" i="1"/>
  <c r="CT20" i="1"/>
  <c r="CZ19" i="1"/>
  <c r="CW19" i="1"/>
  <c r="CT19" i="1"/>
  <c r="CZ18" i="1"/>
  <c r="CW18" i="1"/>
  <c r="CT18" i="1"/>
  <c r="DE21" i="1"/>
  <c r="DE20" i="1"/>
  <c r="DE19" i="1"/>
  <c r="DB19" i="1"/>
  <c r="DE18" i="1"/>
  <c r="DB18" i="1"/>
  <c r="EI22" i="1"/>
  <c r="DT22" i="1"/>
  <c r="BN22" i="1"/>
  <c r="AW20" i="1"/>
  <c r="AW21" i="1"/>
  <c r="BE22" i="1"/>
  <c r="AW22" i="1"/>
  <c r="AX22" i="1"/>
  <c r="AQ22" i="1"/>
  <c r="AL22" i="1"/>
  <c r="AG22" i="1"/>
  <c r="W22" i="1"/>
  <c r="Y22" i="1"/>
  <c r="I22" i="1"/>
  <c r="G22" i="1"/>
  <c r="R22" i="1"/>
  <c r="S22" i="1"/>
  <c r="H22" i="1"/>
  <c r="Q22" i="1"/>
  <c r="K22" i="1"/>
  <c r="J22" i="1"/>
  <c r="M22" i="1"/>
  <c r="CP12" i="1"/>
  <c r="BH12" i="1"/>
  <c r="BN12" i="1"/>
  <c r="BE12" i="1"/>
  <c r="AX12" i="1"/>
  <c r="CD12" i="1"/>
  <c r="AQ12" i="1"/>
  <c r="AL12" i="1"/>
  <c r="AG12" i="1"/>
  <c r="AR12" i="1"/>
  <c r="W12" i="1"/>
  <c r="Y12" i="1"/>
  <c r="L12" i="1"/>
  <c r="M12" i="1"/>
  <c r="G12" i="1"/>
  <c r="S12" i="1"/>
  <c r="R12" i="1"/>
  <c r="H12" i="1"/>
  <c r="CE12" i="1"/>
  <c r="Q12" i="1"/>
  <c r="CE22" i="1"/>
  <c r="CD22" i="1"/>
  <c r="O22" i="1"/>
  <c r="P22" i="1"/>
  <c r="BT22" i="1"/>
  <c r="AR22" i="1"/>
  <c r="AS12" i="1"/>
  <c r="R32" i="1"/>
  <c r="AR32" i="1"/>
  <c r="O32" i="1"/>
  <c r="P32" i="1"/>
  <c r="BT32" i="1"/>
  <c r="DC19" i="1"/>
  <c r="DD19" i="1"/>
  <c r="DC21" i="1"/>
  <c r="BK22" i="1"/>
  <c r="BH22" i="1"/>
  <c r="BQ22" i="1"/>
  <c r="BU22" i="1"/>
  <c r="BW22" i="1"/>
  <c r="AS32" i="1"/>
  <c r="L22" i="1"/>
  <c r="N22" i="1"/>
  <c r="DB21" i="1"/>
  <c r="DD21" i="1"/>
  <c r="AS22" i="1"/>
  <c r="CD32" i="1"/>
  <c r="CE32" i="1"/>
  <c r="O12" i="1"/>
  <c r="P12" i="1"/>
  <c r="BT12" i="1"/>
  <c r="DC18" i="1"/>
  <c r="DC20" i="1"/>
  <c r="DD20" i="1"/>
  <c r="N12" i="1"/>
  <c r="BW32" i="1"/>
  <c r="BY32" i="1"/>
  <c r="BZ32" i="1"/>
  <c r="BV32" i="1"/>
  <c r="DD18" i="1"/>
  <c r="DU130" i="1"/>
  <c r="DU128" i="1"/>
  <c r="DU129" i="1"/>
  <c r="DI130" i="1"/>
  <c r="DX130" i="1"/>
  <c r="DL130" i="1"/>
  <c r="EA130" i="1"/>
  <c r="DX131" i="1"/>
  <c r="DW131" i="1"/>
  <c r="ED130" i="1"/>
  <c r="ED131" i="1"/>
  <c r="EC131" i="1"/>
  <c r="EF131" i="1"/>
  <c r="EH131" i="1"/>
  <c r="DO130" i="1"/>
  <c r="DO131" i="1"/>
  <c r="DI131" i="1"/>
  <c r="DH131" i="1"/>
  <c r="DL131" i="1"/>
  <c r="DK131" i="1"/>
  <c r="EA131" i="1"/>
  <c r="DZ131" i="1"/>
  <c r="EJ129" i="1"/>
  <c r="EJ130" i="1"/>
  <c r="DT131" i="1"/>
  <c r="EJ131" i="1"/>
  <c r="DF129" i="1"/>
  <c r="DE131" i="1"/>
  <c r="CT131" i="1"/>
  <c r="CZ130" i="1"/>
  <c r="CY130" i="1"/>
  <c r="CW130" i="1"/>
  <c r="CV130" i="1"/>
  <c r="CT130" i="1"/>
  <c r="CS130" i="1"/>
  <c r="CZ131" i="1"/>
  <c r="CY131" i="1"/>
  <c r="CW131" i="1"/>
  <c r="CV131" i="1"/>
  <c r="BY22" i="1"/>
  <c r="BZ22" i="1"/>
  <c r="BV22" i="1"/>
  <c r="BQ12" i="1"/>
  <c r="BK12" i="1"/>
  <c r="CC32" i="1"/>
  <c r="CB32" i="1"/>
  <c r="CA32" i="1"/>
  <c r="CA22" i="1"/>
  <c r="CB22" i="1"/>
  <c r="CC22" i="1"/>
  <c r="DN131" i="1"/>
  <c r="DQ131" i="1"/>
  <c r="DS131" i="1"/>
  <c r="EI131" i="1"/>
  <c r="CS131" i="1"/>
  <c r="DB131" i="1"/>
  <c r="DD131" i="1"/>
  <c r="BU12" i="1"/>
  <c r="DZ41" i="1"/>
  <c r="EG41" i="1"/>
  <c r="DR41" i="1"/>
  <c r="DK41" i="1"/>
  <c r="DH41" i="1"/>
  <c r="CY40" i="1"/>
  <c r="CV40" i="1"/>
  <c r="CS40" i="1"/>
  <c r="CY41" i="1"/>
  <c r="CV41" i="1"/>
  <c r="CS41" i="1"/>
  <c r="DE40" i="1"/>
  <c r="DN41" i="1"/>
  <c r="EC41" i="1"/>
  <c r="EI41" i="1"/>
  <c r="DT41" i="1"/>
  <c r="DE41" i="1"/>
  <c r="BW12" i="1"/>
  <c r="BY12" i="1"/>
  <c r="BZ12" i="1"/>
  <c r="BV12" i="1"/>
  <c r="DQ41" i="1"/>
  <c r="DS41" i="1"/>
  <c r="EF41" i="1"/>
  <c r="EH41" i="1"/>
  <c r="DF118" i="1"/>
  <c r="DO118" i="1"/>
  <c r="DU118" i="1"/>
  <c r="EJ118" i="1"/>
  <c r="ED120" i="1"/>
  <c r="DO120" i="1"/>
  <c r="CZ120" i="1"/>
  <c r="CW120" i="1"/>
  <c r="DL120" i="1"/>
  <c r="EA120" i="1"/>
  <c r="DX120" i="1"/>
  <c r="DI120" i="1"/>
  <c r="CT120" i="1"/>
  <c r="DX118" i="1"/>
  <c r="DX119" i="1"/>
  <c r="DI118" i="1"/>
  <c r="DI119" i="1"/>
  <c r="CT118" i="1"/>
  <c r="CT119" i="1"/>
  <c r="CW118" i="1"/>
  <c r="CW119" i="1"/>
  <c r="DL118" i="1"/>
  <c r="DL119" i="1"/>
  <c r="EA118" i="1"/>
  <c r="EA119" i="1"/>
  <c r="ED118" i="1"/>
  <c r="ED119" i="1"/>
  <c r="DO119" i="1"/>
  <c r="CZ119" i="1"/>
  <c r="CZ118" i="1"/>
  <c r="CA12" i="1"/>
  <c r="CC12" i="1"/>
  <c r="CB12" i="1"/>
  <c r="DF119" i="1"/>
  <c r="DE119" i="1"/>
  <c r="DF120" i="1"/>
  <c r="DE120" i="1"/>
  <c r="DF121" i="1"/>
  <c r="EJ119" i="1"/>
  <c r="EI119" i="1"/>
  <c r="EJ120" i="1"/>
  <c r="EI120" i="1"/>
  <c r="EJ121" i="1"/>
  <c r="DU121" i="1"/>
  <c r="DU120" i="1"/>
  <c r="DT120" i="1"/>
  <c r="DU119" i="1"/>
  <c r="DT119" i="1"/>
  <c r="EC121" i="1"/>
  <c r="DZ121" i="1"/>
  <c r="DW121" i="1"/>
  <c r="DN121" i="1"/>
  <c r="DK121" i="1"/>
  <c r="DH121" i="1"/>
  <c r="EC120" i="1"/>
  <c r="DZ120" i="1"/>
  <c r="DW120" i="1"/>
  <c r="DN120" i="1"/>
  <c r="DK120" i="1"/>
  <c r="DH120" i="1"/>
  <c r="CY120" i="1"/>
  <c r="CV120" i="1"/>
  <c r="CS120" i="1"/>
  <c r="EC119" i="1"/>
  <c r="DZ119" i="1"/>
  <c r="DW119" i="1"/>
  <c r="DN119" i="1"/>
  <c r="DK119" i="1"/>
  <c r="DH119" i="1"/>
  <c r="CY119" i="1"/>
  <c r="CV119" i="1"/>
  <c r="CS119" i="1"/>
  <c r="EI118" i="1"/>
  <c r="EC118" i="1"/>
  <c r="DZ118" i="1"/>
  <c r="DW118" i="1"/>
  <c r="DT118" i="1"/>
  <c r="DN118" i="1"/>
  <c r="DK118" i="1"/>
  <c r="DH118" i="1"/>
  <c r="DE118" i="1"/>
  <c r="CY118" i="1"/>
  <c r="CV118" i="1"/>
  <c r="CS118" i="1"/>
  <c r="DT51" i="1"/>
  <c r="DR51" i="1"/>
  <c r="DN51" i="1"/>
  <c r="DK51" i="1"/>
  <c r="DH51" i="1"/>
  <c r="DE51" i="1"/>
  <c r="CY51" i="1"/>
  <c r="CV51" i="1"/>
  <c r="CS51" i="1"/>
  <c r="DT50" i="1"/>
  <c r="DR50" i="1"/>
  <c r="DN50" i="1"/>
  <c r="DK50" i="1"/>
  <c r="DH50" i="1"/>
  <c r="DE50" i="1"/>
  <c r="CY50" i="1"/>
  <c r="CV50" i="1"/>
  <c r="CS50" i="1"/>
  <c r="DT49" i="1"/>
  <c r="DR49" i="1"/>
  <c r="DN49" i="1"/>
  <c r="DK49" i="1"/>
  <c r="DH49" i="1"/>
  <c r="DE49" i="1"/>
  <c r="CY49" i="1"/>
  <c r="CV49" i="1"/>
  <c r="CS49" i="1"/>
  <c r="DT48" i="1"/>
  <c r="DR48" i="1"/>
  <c r="DN48" i="1"/>
  <c r="DK48" i="1"/>
  <c r="DH48" i="1"/>
  <c r="DE48" i="1"/>
  <c r="CY48" i="1"/>
  <c r="CV48" i="1"/>
  <c r="CS48" i="1"/>
  <c r="CT68" i="1"/>
  <c r="CS68" i="1"/>
  <c r="CT69" i="1"/>
  <c r="CS69" i="1"/>
  <c r="DI68" i="1"/>
  <c r="DH68" i="1"/>
  <c r="DI69" i="1"/>
  <c r="CW68" i="1"/>
  <c r="CV68" i="1"/>
  <c r="CW69" i="1"/>
  <c r="CV69" i="1"/>
  <c r="DL68" i="1"/>
  <c r="DK68" i="1"/>
  <c r="DL69" i="1"/>
  <c r="CT70" i="1"/>
  <c r="CS70" i="1"/>
  <c r="CT71" i="1"/>
  <c r="CS71" i="1"/>
  <c r="DI71" i="1"/>
  <c r="DH71" i="1"/>
  <c r="DI70" i="1"/>
  <c r="DH70" i="1"/>
  <c r="DL70" i="1"/>
  <c r="DK70" i="1"/>
  <c r="DL71" i="1"/>
  <c r="DK71" i="1"/>
  <c r="CW70" i="1"/>
  <c r="CV70" i="1"/>
  <c r="CW71" i="1"/>
  <c r="CV71" i="1"/>
  <c r="CZ68" i="1"/>
  <c r="CY68" i="1"/>
  <c r="DO68" i="1"/>
  <c r="DN68" i="1"/>
  <c r="DO69" i="1"/>
  <c r="DN69" i="1"/>
  <c r="CZ69" i="1"/>
  <c r="CY69" i="1"/>
  <c r="CZ70" i="1"/>
  <c r="CY70" i="1"/>
  <c r="CZ71" i="1"/>
  <c r="CY71" i="1"/>
  <c r="DO70" i="1"/>
  <c r="DN70" i="1"/>
  <c r="DO71" i="1"/>
  <c r="DN71" i="1"/>
  <c r="DE71" i="1"/>
  <c r="DE70" i="1"/>
  <c r="DE69" i="1"/>
  <c r="DE68" i="1"/>
  <c r="DT71" i="1"/>
  <c r="DT70" i="1"/>
  <c r="DT69" i="1"/>
  <c r="DT68" i="1"/>
  <c r="CT109" i="1"/>
  <c r="CS109" i="1"/>
  <c r="CT108" i="1"/>
  <c r="CS108" i="1"/>
  <c r="DI108" i="1"/>
  <c r="DH108" i="1"/>
  <c r="DI109" i="1"/>
  <c r="DH109" i="1"/>
  <c r="DX108" i="1"/>
  <c r="DW108" i="1"/>
  <c r="DX109" i="1"/>
  <c r="CT110" i="1"/>
  <c r="CS110" i="1"/>
  <c r="CT111" i="1"/>
  <c r="CS111" i="1"/>
  <c r="CW108" i="1"/>
  <c r="CV108" i="1"/>
  <c r="CW109" i="1"/>
  <c r="CV109" i="1"/>
  <c r="DL108" i="1"/>
  <c r="DK108" i="1"/>
  <c r="DL109" i="1"/>
  <c r="DK109" i="1"/>
  <c r="EA108" i="1"/>
  <c r="EA109" i="1"/>
  <c r="DZ109" i="1"/>
  <c r="CZ108" i="1"/>
  <c r="CZ109" i="1"/>
  <c r="CY109" i="1"/>
  <c r="DO108" i="1"/>
  <c r="DN108" i="1"/>
  <c r="DO109" i="1"/>
  <c r="DN109" i="1"/>
  <c r="ED108" i="1"/>
  <c r="EC108" i="1"/>
  <c r="ED109" i="1"/>
  <c r="ED110" i="1"/>
  <c r="EC110" i="1"/>
  <c r="ED111" i="1"/>
  <c r="EC111" i="1"/>
  <c r="EA110" i="1"/>
  <c r="DZ110" i="1"/>
  <c r="EA111" i="1"/>
  <c r="DX110" i="1"/>
  <c r="DW110" i="1"/>
  <c r="DX111" i="1"/>
  <c r="DW111" i="1"/>
  <c r="DO110" i="1"/>
  <c r="DN110" i="1"/>
  <c r="DO111" i="1"/>
  <c r="DN111" i="1"/>
  <c r="DL110" i="1"/>
  <c r="DK110" i="1"/>
  <c r="DL111" i="1"/>
  <c r="DK111" i="1"/>
  <c r="DI110" i="1"/>
  <c r="DH110" i="1"/>
  <c r="DI111" i="1"/>
  <c r="DH111" i="1"/>
  <c r="CZ110" i="1"/>
  <c r="CY110" i="1"/>
  <c r="CZ111" i="1"/>
  <c r="CY111" i="1"/>
  <c r="CW110" i="1"/>
  <c r="CV110" i="1"/>
  <c r="CW111" i="1"/>
  <c r="CV111" i="1"/>
  <c r="EI105" i="1"/>
  <c r="EI106" i="1"/>
  <c r="EJ108" i="1"/>
  <c r="EI108" i="1"/>
  <c r="DU108" i="1"/>
  <c r="DT108" i="1"/>
  <c r="DF108" i="1"/>
  <c r="DE108" i="1"/>
  <c r="EJ109" i="1"/>
  <c r="EI109" i="1"/>
  <c r="EJ110" i="1"/>
  <c r="EI110" i="1"/>
  <c r="EJ111" i="1"/>
  <c r="EI111" i="1"/>
  <c r="DF109" i="1"/>
  <c r="DE109" i="1"/>
  <c r="DF110" i="1"/>
  <c r="DE110" i="1"/>
  <c r="DF111" i="1"/>
  <c r="DU109" i="1"/>
  <c r="DT109" i="1"/>
  <c r="DU110" i="1"/>
  <c r="DT110" i="1"/>
  <c r="DU111" i="1"/>
  <c r="DT111" i="1"/>
  <c r="EF121" i="1"/>
  <c r="EH121" i="1"/>
  <c r="DE121" i="1"/>
  <c r="DB121" i="1"/>
  <c r="DD121" i="1"/>
  <c r="DE111" i="1"/>
  <c r="EI121" i="1"/>
  <c r="DT121" i="1"/>
  <c r="DQ121" i="1"/>
  <c r="DS121" i="1"/>
  <c r="DQ49" i="1"/>
  <c r="DS49" i="1"/>
  <c r="DQ50" i="1"/>
  <c r="DS50" i="1"/>
  <c r="DQ48" i="1"/>
  <c r="DS48" i="1"/>
  <c r="DQ51" i="1"/>
  <c r="DS51" i="1"/>
  <c r="DH69" i="1"/>
  <c r="DK69" i="1"/>
  <c r="DZ108" i="1"/>
  <c r="DW109" i="1"/>
  <c r="CY108" i="1"/>
  <c r="EC109" i="1"/>
  <c r="DZ111" i="1"/>
  <c r="AW148" i="1"/>
  <c r="AW147" i="1"/>
  <c r="AV146" i="1"/>
  <c r="AW146" i="1"/>
  <c r="AW149" i="1"/>
  <c r="AW150" i="1"/>
  <c r="AW151" i="1"/>
  <c r="AV149" i="1"/>
  <c r="AV150" i="1"/>
  <c r="AV151" i="1"/>
  <c r="AT146" i="1"/>
  <c r="AT144" i="1"/>
  <c r="AT95" i="1"/>
  <c r="CP59" i="1"/>
  <c r="CP58" i="1"/>
  <c r="Y159" i="1"/>
  <c r="W159" i="1"/>
  <c r="Y158" i="1"/>
  <c r="Z160" i="1"/>
  <c r="AA160" i="1"/>
  <c r="W158" i="1"/>
  <c r="X160" i="1"/>
  <c r="Y157" i="1"/>
  <c r="W157" i="1"/>
  <c r="Y156" i="1"/>
  <c r="W156" i="1"/>
  <c r="Y155" i="1"/>
  <c r="W155" i="1"/>
  <c r="Y154" i="1"/>
  <c r="W154" i="1"/>
  <c r="Y153" i="1"/>
  <c r="W153" i="1"/>
  <c r="Y151" i="1"/>
  <c r="Z152" i="1"/>
  <c r="AA152" i="1"/>
  <c r="W151" i="1"/>
  <c r="X152" i="1"/>
  <c r="Y150" i="1"/>
  <c r="W150" i="1"/>
  <c r="Y149" i="1"/>
  <c r="W149" i="1"/>
  <c r="Y148" i="1"/>
  <c r="W148" i="1"/>
  <c r="Y147" i="1"/>
  <c r="W147" i="1"/>
  <c r="Y146" i="1"/>
  <c r="W146" i="1"/>
  <c r="Y145" i="1"/>
  <c r="W145" i="1"/>
  <c r="Y144" i="1"/>
  <c r="W144" i="1"/>
  <c r="Y143" i="1"/>
  <c r="W143" i="1"/>
  <c r="Y141" i="1"/>
  <c r="Z142" i="1"/>
  <c r="AA142" i="1"/>
  <c r="W141" i="1"/>
  <c r="X142" i="1"/>
  <c r="Y140" i="1"/>
  <c r="W140" i="1"/>
  <c r="Y139" i="1"/>
  <c r="W139" i="1"/>
  <c r="Y138" i="1"/>
  <c r="W138" i="1"/>
  <c r="Y137" i="1"/>
  <c r="W137" i="1"/>
  <c r="Y136" i="1"/>
  <c r="W136" i="1"/>
  <c r="Y135" i="1"/>
  <c r="W135" i="1"/>
  <c r="Y134" i="1"/>
  <c r="W134" i="1"/>
  <c r="Y133" i="1"/>
  <c r="W133" i="1"/>
  <c r="Y131" i="1"/>
  <c r="Z132" i="1"/>
  <c r="AA132" i="1"/>
  <c r="W131" i="1"/>
  <c r="X132" i="1"/>
  <c r="Y130" i="1"/>
  <c r="W130" i="1"/>
  <c r="Y129" i="1"/>
  <c r="W129" i="1"/>
  <c r="Y128" i="1"/>
  <c r="W128" i="1"/>
  <c r="Y127" i="1"/>
  <c r="W127" i="1"/>
  <c r="Y126" i="1"/>
  <c r="W126" i="1"/>
  <c r="Y125" i="1"/>
  <c r="W125" i="1"/>
  <c r="Y124" i="1"/>
  <c r="W124" i="1"/>
  <c r="Y123" i="1"/>
  <c r="W123" i="1"/>
  <c r="W121" i="1"/>
  <c r="X122" i="1"/>
  <c r="W120" i="1"/>
  <c r="W119" i="1"/>
  <c r="W118" i="1"/>
  <c r="W117" i="1"/>
  <c r="W116" i="1"/>
  <c r="W115" i="1"/>
  <c r="W114" i="1"/>
  <c r="W113" i="1"/>
  <c r="W111" i="1"/>
  <c r="X112" i="1"/>
  <c r="W110" i="1"/>
  <c r="W109" i="1"/>
  <c r="W108" i="1"/>
  <c r="W107" i="1"/>
  <c r="W106" i="1"/>
  <c r="W105" i="1"/>
  <c r="W104" i="1"/>
  <c r="W103" i="1"/>
  <c r="Y101" i="1"/>
  <c r="Z102" i="1"/>
  <c r="AA102" i="1"/>
  <c r="W101" i="1"/>
  <c r="X102" i="1"/>
  <c r="Y100" i="1"/>
  <c r="W100" i="1"/>
  <c r="Y99" i="1"/>
  <c r="W99" i="1"/>
  <c r="Y98" i="1"/>
  <c r="W98" i="1"/>
  <c r="Y97" i="1"/>
  <c r="W97" i="1"/>
  <c r="Y96" i="1"/>
  <c r="W96" i="1"/>
  <c r="Y95" i="1"/>
  <c r="W95" i="1"/>
  <c r="Y94" i="1"/>
  <c r="W94" i="1"/>
  <c r="Y93" i="1"/>
  <c r="W93" i="1"/>
  <c r="Y91" i="1"/>
  <c r="Z92" i="1"/>
  <c r="AA92" i="1"/>
  <c r="W91" i="1"/>
  <c r="X92" i="1"/>
  <c r="Y90" i="1"/>
  <c r="W90" i="1"/>
  <c r="Y89" i="1"/>
  <c r="W89" i="1"/>
  <c r="Y88" i="1"/>
  <c r="W88" i="1"/>
  <c r="Y87" i="1"/>
  <c r="W87" i="1"/>
  <c r="Y86" i="1"/>
  <c r="W86" i="1"/>
  <c r="Y85" i="1"/>
  <c r="W85" i="1"/>
  <c r="Y84" i="1"/>
  <c r="W84" i="1"/>
  <c r="Y83" i="1"/>
  <c r="W83" i="1"/>
  <c r="Y81" i="1"/>
  <c r="Z82" i="1"/>
  <c r="AA82" i="1"/>
  <c r="W81" i="1"/>
  <c r="X82" i="1"/>
  <c r="Y80" i="1"/>
  <c r="W80" i="1"/>
  <c r="Y79" i="1"/>
  <c r="W79" i="1"/>
  <c r="Y78" i="1"/>
  <c r="W78" i="1"/>
  <c r="Y77" i="1"/>
  <c r="W77" i="1"/>
  <c r="Y76" i="1"/>
  <c r="W76" i="1"/>
  <c r="Y75" i="1"/>
  <c r="W75" i="1"/>
  <c r="Y74" i="1"/>
  <c r="W74" i="1"/>
  <c r="Y73" i="1"/>
  <c r="W73" i="1"/>
  <c r="Y61" i="1"/>
  <c r="Z62" i="1"/>
  <c r="AA62" i="1"/>
  <c r="W61" i="1"/>
  <c r="X62" i="1"/>
  <c r="Y60" i="1"/>
  <c r="W60" i="1"/>
  <c r="Y59" i="1"/>
  <c r="W59" i="1"/>
  <c r="Y58" i="1"/>
  <c r="W58" i="1"/>
  <c r="Y57" i="1"/>
  <c r="W57" i="1"/>
  <c r="Y56" i="1"/>
  <c r="W56" i="1"/>
  <c r="Y55" i="1"/>
  <c r="W55" i="1"/>
  <c r="Y54" i="1"/>
  <c r="W54" i="1"/>
  <c r="Y53" i="1"/>
  <c r="W53" i="1"/>
  <c r="Y41" i="1"/>
  <c r="Z42" i="1"/>
  <c r="AA42" i="1"/>
  <c r="W41" i="1"/>
  <c r="X42" i="1"/>
  <c r="Y40" i="1"/>
  <c r="W40" i="1"/>
  <c r="Y39" i="1"/>
  <c r="W39" i="1"/>
  <c r="Y38" i="1"/>
  <c r="W38" i="1"/>
  <c r="Y37" i="1"/>
  <c r="W37" i="1"/>
  <c r="Y36" i="1"/>
  <c r="W36" i="1"/>
  <c r="Y35" i="1"/>
  <c r="W35" i="1"/>
  <c r="Y34" i="1"/>
  <c r="W34" i="1"/>
  <c r="Y33" i="1"/>
  <c r="W33" i="1"/>
  <c r="Y31" i="1"/>
  <c r="Z32" i="1"/>
  <c r="AA32" i="1"/>
  <c r="W31" i="1"/>
  <c r="X32" i="1"/>
  <c r="Y30" i="1"/>
  <c r="W30" i="1"/>
  <c r="Y29" i="1"/>
  <c r="W29" i="1"/>
  <c r="Y28" i="1"/>
  <c r="W28" i="1"/>
  <c r="Y27" i="1"/>
  <c r="W27" i="1"/>
  <c r="Y26" i="1"/>
  <c r="W26" i="1"/>
  <c r="Y25" i="1"/>
  <c r="W25" i="1"/>
  <c r="Y24" i="1"/>
  <c r="W24" i="1"/>
  <c r="Y23" i="1"/>
  <c r="W23" i="1"/>
  <c r="Y21" i="1"/>
  <c r="Z22" i="1"/>
  <c r="AA22" i="1"/>
  <c r="W21" i="1"/>
  <c r="X22" i="1"/>
  <c r="Y20" i="1"/>
  <c r="W20" i="1"/>
  <c r="Y19" i="1"/>
  <c r="W19" i="1"/>
  <c r="Y18" i="1"/>
  <c r="W18" i="1"/>
  <c r="Y17" i="1"/>
  <c r="W17" i="1"/>
  <c r="Y16" i="1"/>
  <c r="W16" i="1"/>
  <c r="Y15" i="1"/>
  <c r="W15" i="1"/>
  <c r="Y14" i="1"/>
  <c r="W14" i="1"/>
  <c r="Y13" i="1"/>
  <c r="W13" i="1"/>
  <c r="Y11" i="1"/>
  <c r="Z12" i="1"/>
  <c r="AA12" i="1"/>
  <c r="W11" i="1"/>
  <c r="Y10" i="1"/>
  <c r="W10" i="1"/>
  <c r="Y9" i="1"/>
  <c r="W9" i="1"/>
  <c r="Y8" i="1"/>
  <c r="W8" i="1"/>
  <c r="Y7" i="1"/>
  <c r="W7" i="1"/>
  <c r="Y6" i="1"/>
  <c r="W6" i="1"/>
  <c r="Y5" i="1"/>
  <c r="W5" i="1"/>
  <c r="Y4" i="1"/>
  <c r="W4" i="1"/>
  <c r="Y3" i="1"/>
  <c r="W3" i="1"/>
  <c r="W43" i="1"/>
  <c r="Y43" i="1"/>
  <c r="W44" i="1"/>
  <c r="Y44" i="1"/>
  <c r="W45" i="1"/>
  <c r="Y45" i="1"/>
  <c r="W46" i="1"/>
  <c r="Y46" i="1"/>
  <c r="W47" i="1"/>
  <c r="Y47" i="1"/>
  <c r="W48" i="1"/>
  <c r="Y48" i="1"/>
  <c r="W49" i="1"/>
  <c r="Y49" i="1"/>
  <c r="W50" i="1"/>
  <c r="Y50" i="1"/>
  <c r="W51" i="1"/>
  <c r="X52" i="1"/>
  <c r="Y51" i="1"/>
  <c r="Z52" i="1"/>
  <c r="AA52" i="1"/>
  <c r="X11" i="1"/>
  <c r="X12" i="1"/>
  <c r="X51" i="1"/>
  <c r="Z46" i="1"/>
  <c r="AA46" i="1"/>
  <c r="Z49" i="1"/>
  <c r="AA49" i="1"/>
  <c r="Z21" i="1"/>
  <c r="AA21" i="1"/>
  <c r="Z4" i="1"/>
  <c r="AA4" i="1"/>
  <c r="X18" i="1"/>
  <c r="X44" i="1"/>
  <c r="Z41" i="1"/>
  <c r="AA41" i="1"/>
  <c r="Z47" i="1"/>
  <c r="AA47" i="1"/>
  <c r="X81" i="1"/>
  <c r="X131" i="1"/>
  <c r="X140" i="1"/>
  <c r="X149" i="1"/>
  <c r="X154" i="1"/>
  <c r="Z59" i="1"/>
  <c r="AA59" i="1"/>
  <c r="Z141" i="1"/>
  <c r="AA141" i="1"/>
  <c r="X79" i="1"/>
  <c r="X139" i="1"/>
  <c r="Z15" i="1"/>
  <c r="AA15" i="1"/>
  <c r="Z50" i="1"/>
  <c r="AA50" i="1"/>
  <c r="X16" i="1"/>
  <c r="X30" i="1"/>
  <c r="X57" i="1"/>
  <c r="X61" i="1"/>
  <c r="Z51" i="1"/>
  <c r="AA51" i="1"/>
  <c r="Z61" i="1"/>
  <c r="AA61" i="1"/>
  <c r="Z80" i="1"/>
  <c r="AA80" i="1"/>
  <c r="Z48" i="1"/>
  <c r="AA48" i="1"/>
  <c r="Z44" i="1"/>
  <c r="AA44" i="1"/>
  <c r="Z30" i="1"/>
  <c r="AA30" i="1"/>
  <c r="Z39" i="1"/>
  <c r="AA39" i="1"/>
  <c r="X27" i="1"/>
  <c r="X31" i="1"/>
  <c r="X40" i="1"/>
  <c r="X59" i="1"/>
  <c r="X47" i="1"/>
  <c r="Z45" i="1"/>
  <c r="AA45" i="1"/>
  <c r="X60" i="1"/>
  <c r="X48" i="1"/>
  <c r="X45" i="1"/>
  <c r="Z60" i="1"/>
  <c r="AA60" i="1"/>
  <c r="X49" i="1"/>
  <c r="Z11" i="1"/>
  <c r="AA11" i="1"/>
  <c r="Z16" i="1"/>
  <c r="AA16" i="1"/>
  <c r="Z25" i="1"/>
  <c r="AA25" i="1"/>
  <c r="Z29" i="1"/>
  <c r="AA29" i="1"/>
  <c r="Z57" i="1"/>
  <c r="AA57" i="1"/>
  <c r="Z79" i="1"/>
  <c r="AA79" i="1"/>
  <c r="Z147" i="1"/>
  <c r="AA147" i="1"/>
  <c r="X50" i="1"/>
  <c r="X26" i="1"/>
  <c r="X39" i="1"/>
  <c r="X80" i="1"/>
  <c r="Z9" i="1"/>
  <c r="AA9" i="1"/>
  <c r="Z14" i="1"/>
  <c r="AA14" i="1"/>
  <c r="Z27" i="1"/>
  <c r="AA27" i="1"/>
  <c r="Z40" i="1"/>
  <c r="AA40" i="1"/>
  <c r="Z81" i="1"/>
  <c r="AA81" i="1"/>
  <c r="Z140" i="1"/>
  <c r="AA140" i="1"/>
  <c r="Z149" i="1"/>
  <c r="AA149" i="1"/>
  <c r="Z154" i="1"/>
  <c r="AA154" i="1"/>
  <c r="X6" i="1"/>
  <c r="X10" i="1"/>
  <c r="X15" i="1"/>
  <c r="X20" i="1"/>
  <c r="X38" i="1"/>
  <c r="X41" i="1"/>
  <c r="X137" i="1"/>
  <c r="X141" i="1"/>
  <c r="Z8" i="1"/>
  <c r="AA8" i="1"/>
  <c r="Z19" i="1"/>
  <c r="AA19" i="1"/>
  <c r="Z31" i="1"/>
  <c r="AA31" i="1"/>
  <c r="X5" i="1"/>
  <c r="X14" i="1"/>
  <c r="X28" i="1"/>
  <c r="X17" i="1"/>
  <c r="Z20" i="1"/>
  <c r="AA20" i="1"/>
  <c r="Z28" i="1"/>
  <c r="AA28" i="1"/>
  <c r="Z18" i="1"/>
  <c r="AA18" i="1"/>
  <c r="X21" i="1"/>
  <c r="X8" i="1"/>
  <c r="Z26" i="1"/>
  <c r="AA26" i="1"/>
  <c r="Z6" i="1"/>
  <c r="AA6" i="1"/>
  <c r="X9" i="1"/>
  <c r="Z7" i="1"/>
  <c r="AA7" i="1"/>
  <c r="Z10" i="1"/>
  <c r="AA10" i="1"/>
  <c r="X4" i="1"/>
  <c r="Z155" i="1"/>
  <c r="AA155" i="1"/>
  <c r="X155" i="1"/>
  <c r="X156" i="1"/>
  <c r="Z156" i="1"/>
  <c r="AA156" i="1"/>
  <c r="X157" i="1"/>
  <c r="X158" i="1"/>
  <c r="Z159" i="1"/>
  <c r="AA159" i="1"/>
  <c r="Z158" i="1"/>
  <c r="AA158" i="1"/>
  <c r="Z157" i="1"/>
  <c r="AA157" i="1"/>
  <c r="X159" i="1"/>
  <c r="X144" i="1"/>
  <c r="Z144" i="1"/>
  <c r="AA144" i="1"/>
  <c r="X145" i="1"/>
  <c r="Z145" i="1"/>
  <c r="AA145" i="1"/>
  <c r="X147" i="1"/>
  <c r="X146" i="1"/>
  <c r="Z146" i="1"/>
  <c r="AA146" i="1"/>
  <c r="X148" i="1"/>
  <c r="Z148" i="1"/>
  <c r="AA148" i="1"/>
  <c r="X150" i="1"/>
  <c r="Z150" i="1"/>
  <c r="AA150" i="1"/>
  <c r="X151" i="1"/>
  <c r="Z151" i="1"/>
  <c r="AA151" i="1"/>
  <c r="X134" i="1"/>
  <c r="Z134" i="1"/>
  <c r="AA134" i="1"/>
  <c r="X135" i="1"/>
  <c r="Z135" i="1"/>
  <c r="AA135" i="1"/>
  <c r="X136" i="1"/>
  <c r="Z136" i="1"/>
  <c r="AA136" i="1"/>
  <c r="Z137" i="1"/>
  <c r="AA137" i="1"/>
  <c r="X138" i="1"/>
  <c r="Z138" i="1"/>
  <c r="AA138" i="1"/>
  <c r="Z139" i="1"/>
  <c r="AA139" i="1"/>
  <c r="X124" i="1"/>
  <c r="Z124" i="1"/>
  <c r="AA124" i="1"/>
  <c r="Z125" i="1"/>
  <c r="AA125" i="1"/>
  <c r="X126" i="1"/>
  <c r="Z126" i="1"/>
  <c r="AA126" i="1"/>
  <c r="Z127" i="1"/>
  <c r="AA127" i="1"/>
  <c r="X127" i="1"/>
  <c r="X128" i="1"/>
  <c r="Z128" i="1"/>
  <c r="AA128" i="1"/>
  <c r="Z130" i="1"/>
  <c r="AA130" i="1"/>
  <c r="X129" i="1"/>
  <c r="Z129" i="1"/>
  <c r="AA129" i="1"/>
  <c r="X130" i="1"/>
  <c r="X125" i="1"/>
  <c r="Z131" i="1"/>
  <c r="AA131" i="1"/>
  <c r="X94" i="1"/>
  <c r="Z94" i="1"/>
  <c r="AA94" i="1"/>
  <c r="X95" i="1"/>
  <c r="Z95" i="1"/>
  <c r="AA95" i="1"/>
  <c r="X97" i="1"/>
  <c r="X96" i="1"/>
  <c r="Z96" i="1"/>
  <c r="AA96" i="1"/>
  <c r="Z97" i="1"/>
  <c r="AA97" i="1"/>
  <c r="X98" i="1"/>
  <c r="Z98" i="1"/>
  <c r="AA98" i="1"/>
  <c r="Z101" i="1"/>
  <c r="AA101" i="1"/>
  <c r="Z99" i="1"/>
  <c r="AA99" i="1"/>
  <c r="X99" i="1"/>
  <c r="X100" i="1"/>
  <c r="X101" i="1"/>
  <c r="Z100" i="1"/>
  <c r="AA100" i="1"/>
  <c r="Z85" i="1"/>
  <c r="AA85" i="1"/>
  <c r="Z86" i="1"/>
  <c r="AA86" i="1"/>
  <c r="X87" i="1"/>
  <c r="Z87" i="1"/>
  <c r="AA87" i="1"/>
  <c r="X86" i="1"/>
  <c r="X85" i="1"/>
  <c r="X84" i="1"/>
  <c r="Z84" i="1"/>
  <c r="AA84" i="1"/>
  <c r="X88" i="1"/>
  <c r="Z88" i="1"/>
  <c r="AA88" i="1"/>
  <c r="X89" i="1"/>
  <c r="Z89" i="1"/>
  <c r="AA89" i="1"/>
  <c r="X90" i="1"/>
  <c r="Z90" i="1"/>
  <c r="AA90" i="1"/>
  <c r="X91" i="1"/>
  <c r="Z91" i="1"/>
  <c r="AA91" i="1"/>
  <c r="Z74" i="1"/>
  <c r="AA74" i="1"/>
  <c r="X75" i="1"/>
  <c r="Z75" i="1"/>
  <c r="AA75" i="1"/>
  <c r="X74" i="1"/>
  <c r="Z76" i="1"/>
  <c r="AA76" i="1"/>
  <c r="X76" i="1"/>
  <c r="X77" i="1"/>
  <c r="Z77" i="1"/>
  <c r="AA77" i="1"/>
  <c r="X78" i="1"/>
  <c r="Z78" i="1"/>
  <c r="AA78" i="1"/>
  <c r="X54" i="1"/>
  <c r="Z54" i="1"/>
  <c r="AA54" i="1"/>
  <c r="X55" i="1"/>
  <c r="Z55" i="1"/>
  <c r="AA55" i="1"/>
  <c r="Z58" i="1"/>
  <c r="AA58" i="1"/>
  <c r="X56" i="1"/>
  <c r="Z56" i="1"/>
  <c r="AA56" i="1"/>
  <c r="X58" i="1"/>
  <c r="Z34" i="1"/>
  <c r="AA34" i="1"/>
  <c r="X34" i="1"/>
  <c r="X35" i="1"/>
  <c r="Z35" i="1"/>
  <c r="AA35" i="1"/>
  <c r="X36" i="1"/>
  <c r="Z36" i="1"/>
  <c r="AA36" i="1"/>
  <c r="Z37" i="1"/>
  <c r="AA37" i="1"/>
  <c r="X37" i="1"/>
  <c r="Z38" i="1"/>
  <c r="AA38" i="1"/>
  <c r="X24" i="1"/>
  <c r="Z24" i="1"/>
  <c r="AA24" i="1"/>
  <c r="X25" i="1"/>
  <c r="X29" i="1"/>
  <c r="Z17" i="1"/>
  <c r="AA17" i="1"/>
  <c r="X19" i="1"/>
  <c r="Z5" i="1"/>
  <c r="AA5" i="1"/>
  <c r="X7" i="1"/>
  <c r="X46" i="1"/>
  <c r="AW103" i="1"/>
  <c r="AX103" i="1"/>
  <c r="AW104" i="1"/>
  <c r="AX104" i="1"/>
  <c r="AW105" i="1"/>
  <c r="Y104" i="1"/>
  <c r="Y103" i="1"/>
  <c r="J103" i="1"/>
  <c r="J104" i="1"/>
  <c r="I103" i="1"/>
  <c r="I104" i="1"/>
  <c r="F118" i="1"/>
  <c r="Y113" i="1"/>
  <c r="Y114" i="1"/>
  <c r="I113" i="1"/>
  <c r="I114" i="1"/>
  <c r="J113" i="1"/>
  <c r="J114" i="1"/>
  <c r="EI159" i="1"/>
  <c r="EC159" i="1"/>
  <c r="DZ159" i="1"/>
  <c r="DW159" i="1"/>
  <c r="EI151" i="1"/>
  <c r="EC151" i="1"/>
  <c r="DZ151" i="1"/>
  <c r="DW151" i="1"/>
  <c r="EI150" i="1"/>
  <c r="EC150" i="1"/>
  <c r="DZ150" i="1"/>
  <c r="DW150" i="1"/>
  <c r="EI149" i="1"/>
  <c r="EC149" i="1"/>
  <c r="DZ149" i="1"/>
  <c r="DW149" i="1"/>
  <c r="EI148" i="1"/>
  <c r="EC148" i="1"/>
  <c r="DZ148" i="1"/>
  <c r="DW148" i="1"/>
  <c r="EI141" i="1"/>
  <c r="ED141" i="1"/>
  <c r="EC141" i="1"/>
  <c r="EA141" i="1"/>
  <c r="DZ141" i="1"/>
  <c r="DX141" i="1"/>
  <c r="DW141" i="1"/>
  <c r="EI140" i="1"/>
  <c r="ED140" i="1"/>
  <c r="EC140" i="1"/>
  <c r="EA140" i="1"/>
  <c r="DZ140" i="1"/>
  <c r="DX140" i="1"/>
  <c r="DW140" i="1"/>
  <c r="EI139" i="1"/>
  <c r="ED139" i="1"/>
  <c r="EC139" i="1"/>
  <c r="EA139" i="1"/>
  <c r="DZ139" i="1"/>
  <c r="DX139" i="1"/>
  <c r="DW139" i="1"/>
  <c r="EI138" i="1"/>
  <c r="ED138" i="1"/>
  <c r="EC138" i="1"/>
  <c r="EA138" i="1"/>
  <c r="DZ138" i="1"/>
  <c r="DX138" i="1"/>
  <c r="DW138" i="1"/>
  <c r="EI130" i="1"/>
  <c r="EC130" i="1"/>
  <c r="DZ130" i="1"/>
  <c r="DW130" i="1"/>
  <c r="EI129" i="1"/>
  <c r="ED129" i="1"/>
  <c r="EC129" i="1"/>
  <c r="EA129" i="1"/>
  <c r="DZ129" i="1"/>
  <c r="DX129" i="1"/>
  <c r="DW129" i="1"/>
  <c r="EJ128" i="1"/>
  <c r="EI128" i="1"/>
  <c r="ED128" i="1"/>
  <c r="EC128" i="1"/>
  <c r="EA128" i="1"/>
  <c r="DZ128" i="1"/>
  <c r="DX128" i="1"/>
  <c r="DW128" i="1"/>
  <c r="EJ101" i="1"/>
  <c r="ED101" i="1"/>
  <c r="EC101" i="1"/>
  <c r="EA101" i="1"/>
  <c r="DZ101" i="1"/>
  <c r="DX101" i="1"/>
  <c r="DW101" i="1"/>
  <c r="EJ100" i="1"/>
  <c r="ED100" i="1"/>
  <c r="EC100" i="1"/>
  <c r="EA100" i="1"/>
  <c r="DZ100" i="1"/>
  <c r="DX100" i="1"/>
  <c r="DW100" i="1"/>
  <c r="EJ99" i="1"/>
  <c r="EI99" i="1"/>
  <c r="ED99" i="1"/>
  <c r="EC99" i="1"/>
  <c r="EA99" i="1"/>
  <c r="DZ99" i="1"/>
  <c r="DX99" i="1"/>
  <c r="DW99" i="1"/>
  <c r="EJ98" i="1"/>
  <c r="EI98" i="1"/>
  <c r="ED98" i="1"/>
  <c r="EC98" i="1"/>
  <c r="EA98" i="1"/>
  <c r="DZ98" i="1"/>
  <c r="DX98" i="1"/>
  <c r="DW98" i="1"/>
  <c r="EI91" i="1"/>
  <c r="ED91" i="1"/>
  <c r="EC91" i="1"/>
  <c r="EA91" i="1"/>
  <c r="DZ91" i="1"/>
  <c r="DX91" i="1"/>
  <c r="DW91" i="1"/>
  <c r="EI90" i="1"/>
  <c r="EC90" i="1"/>
  <c r="DZ90" i="1"/>
  <c r="DW90" i="1"/>
  <c r="EI89" i="1"/>
  <c r="EC89" i="1"/>
  <c r="DZ89" i="1"/>
  <c r="DW89" i="1"/>
  <c r="EI88" i="1"/>
  <c r="EC88" i="1"/>
  <c r="DZ88" i="1"/>
  <c r="DW88" i="1"/>
  <c r="EI81" i="1"/>
  <c r="ED81" i="1"/>
  <c r="EC81" i="1"/>
  <c r="EA81" i="1"/>
  <c r="DZ81" i="1"/>
  <c r="DX81" i="1"/>
  <c r="DW81" i="1"/>
  <c r="EJ80" i="1"/>
  <c r="ED80" i="1"/>
  <c r="EC80" i="1"/>
  <c r="EA80" i="1"/>
  <c r="DZ80" i="1"/>
  <c r="DX80" i="1"/>
  <c r="DW80" i="1"/>
  <c r="EJ79" i="1"/>
  <c r="EI79" i="1"/>
  <c r="ED79" i="1"/>
  <c r="EC79" i="1"/>
  <c r="EA79" i="1"/>
  <c r="DZ79" i="1"/>
  <c r="DX79" i="1"/>
  <c r="DW79" i="1"/>
  <c r="EJ78" i="1"/>
  <c r="ED78" i="1"/>
  <c r="EC78" i="1"/>
  <c r="EA78" i="1"/>
  <c r="DZ78" i="1"/>
  <c r="DX78" i="1"/>
  <c r="DW78" i="1"/>
  <c r="EJ61" i="1"/>
  <c r="EI61" i="1"/>
  <c r="ED61" i="1"/>
  <c r="EC61" i="1"/>
  <c r="EA61" i="1"/>
  <c r="DZ61" i="1"/>
  <c r="DX61" i="1"/>
  <c r="DW61" i="1"/>
  <c r="EJ60" i="1"/>
  <c r="EI60" i="1"/>
  <c r="ED60" i="1"/>
  <c r="EC60" i="1"/>
  <c r="EA60" i="1"/>
  <c r="DZ60" i="1"/>
  <c r="DX60" i="1"/>
  <c r="DW60" i="1"/>
  <c r="EJ59" i="1"/>
  <c r="EI59" i="1"/>
  <c r="ED59" i="1"/>
  <c r="EC59" i="1"/>
  <c r="EA59" i="1"/>
  <c r="DZ59" i="1"/>
  <c r="DX59" i="1"/>
  <c r="DW59" i="1"/>
  <c r="EJ58" i="1"/>
  <c r="EI58" i="1"/>
  <c r="ED58" i="1"/>
  <c r="EC58" i="1"/>
  <c r="EA58" i="1"/>
  <c r="DZ58" i="1"/>
  <c r="DX58" i="1"/>
  <c r="DW58" i="1"/>
  <c r="EI40" i="1"/>
  <c r="EG40" i="1"/>
  <c r="EC40" i="1"/>
  <c r="DZ40" i="1"/>
  <c r="DW40" i="1"/>
  <c r="EI39" i="1"/>
  <c r="EG39" i="1"/>
  <c r="EC39" i="1"/>
  <c r="DZ39" i="1"/>
  <c r="DW39" i="1"/>
  <c r="EI38" i="1"/>
  <c r="EG38" i="1"/>
  <c r="EC38" i="1"/>
  <c r="DZ38" i="1"/>
  <c r="DW38" i="1"/>
  <c r="EI21" i="1"/>
  <c r="ED21" i="1"/>
  <c r="EC21" i="1"/>
  <c r="EA21" i="1"/>
  <c r="DZ21" i="1"/>
  <c r="DX21" i="1"/>
  <c r="DW21" i="1"/>
  <c r="EI20" i="1"/>
  <c r="ED20" i="1"/>
  <c r="EC20" i="1"/>
  <c r="EA20" i="1"/>
  <c r="DZ20" i="1"/>
  <c r="DX20" i="1"/>
  <c r="DW20" i="1"/>
  <c r="EI19" i="1"/>
  <c r="ED19" i="1"/>
  <c r="EC19" i="1"/>
  <c r="EA19" i="1"/>
  <c r="DZ19" i="1"/>
  <c r="DX19" i="1"/>
  <c r="DW19" i="1"/>
  <c r="EI18" i="1"/>
  <c r="ED18" i="1"/>
  <c r="EC18" i="1"/>
  <c r="EA18" i="1"/>
  <c r="DZ18" i="1"/>
  <c r="DX18" i="1"/>
  <c r="DW18" i="1"/>
  <c r="DT130" i="1"/>
  <c r="DN130" i="1"/>
  <c r="DK130" i="1"/>
  <c r="DH130" i="1"/>
  <c r="DT129" i="1"/>
  <c r="DO129" i="1"/>
  <c r="DN129" i="1"/>
  <c r="DL129" i="1"/>
  <c r="DK129" i="1"/>
  <c r="DI129" i="1"/>
  <c r="DH129" i="1"/>
  <c r="DT128" i="1"/>
  <c r="DO128" i="1"/>
  <c r="DN128" i="1"/>
  <c r="DL128" i="1"/>
  <c r="DK128" i="1"/>
  <c r="DI128" i="1"/>
  <c r="DH128" i="1"/>
  <c r="DT159" i="1"/>
  <c r="DN159" i="1"/>
  <c r="DK159" i="1"/>
  <c r="DH159" i="1"/>
  <c r="DT158" i="1"/>
  <c r="DN158" i="1"/>
  <c r="DK158" i="1"/>
  <c r="DH158" i="1"/>
  <c r="DT151" i="1"/>
  <c r="DN151" i="1"/>
  <c r="DK151" i="1"/>
  <c r="DH151" i="1"/>
  <c r="DT150" i="1"/>
  <c r="DN150" i="1"/>
  <c r="DK150" i="1"/>
  <c r="DH150" i="1"/>
  <c r="DT149" i="1"/>
  <c r="DN149" i="1"/>
  <c r="DK149" i="1"/>
  <c r="DH149" i="1"/>
  <c r="DT148" i="1"/>
  <c r="DN148" i="1"/>
  <c r="DK148" i="1"/>
  <c r="DH148" i="1"/>
  <c r="DT141" i="1"/>
  <c r="DO141" i="1"/>
  <c r="DN141" i="1"/>
  <c r="DL141" i="1"/>
  <c r="DK141" i="1"/>
  <c r="DI141" i="1"/>
  <c r="DH141" i="1"/>
  <c r="DT140" i="1"/>
  <c r="DO140" i="1"/>
  <c r="DN140" i="1"/>
  <c r="DL140" i="1"/>
  <c r="DK140" i="1"/>
  <c r="DI140" i="1"/>
  <c r="DH140" i="1"/>
  <c r="DT139" i="1"/>
  <c r="DO139" i="1"/>
  <c r="DN139" i="1"/>
  <c r="DL139" i="1"/>
  <c r="DK139" i="1"/>
  <c r="DI139" i="1"/>
  <c r="DH139" i="1"/>
  <c r="DT138" i="1"/>
  <c r="DO138" i="1"/>
  <c r="DL138" i="1"/>
  <c r="DK138" i="1"/>
  <c r="DH138" i="1"/>
  <c r="CT128" i="1"/>
  <c r="CS128" i="1"/>
  <c r="CW128" i="1"/>
  <c r="CV128" i="1"/>
  <c r="CZ128" i="1"/>
  <c r="CY128" i="1"/>
  <c r="DF128" i="1"/>
  <c r="DE128" i="1"/>
  <c r="CT129" i="1"/>
  <c r="CS129" i="1"/>
  <c r="CW129" i="1"/>
  <c r="CV129" i="1"/>
  <c r="CZ129" i="1"/>
  <c r="CY129" i="1"/>
  <c r="DE130" i="1"/>
  <c r="CT138" i="1"/>
  <c r="CS138" i="1"/>
  <c r="CW138" i="1"/>
  <c r="CV138" i="1"/>
  <c r="CZ138" i="1"/>
  <c r="CY138" i="1"/>
  <c r="DF138" i="1"/>
  <c r="DE138" i="1"/>
  <c r="CT139" i="1"/>
  <c r="CS139" i="1"/>
  <c r="CW139" i="1"/>
  <c r="CV139" i="1"/>
  <c r="CZ139" i="1"/>
  <c r="CY139" i="1"/>
  <c r="DF139" i="1"/>
  <c r="CT140" i="1"/>
  <c r="CS140" i="1"/>
  <c r="CW140" i="1"/>
  <c r="CV140" i="1"/>
  <c r="CZ140" i="1"/>
  <c r="CY140" i="1"/>
  <c r="DF140" i="1"/>
  <c r="DE140" i="1"/>
  <c r="CT141" i="1"/>
  <c r="CW141" i="1"/>
  <c r="CV141" i="1"/>
  <c r="CZ141" i="1"/>
  <c r="CY141" i="1"/>
  <c r="DE141" i="1"/>
  <c r="CS148" i="1"/>
  <c r="CV148" i="1"/>
  <c r="CY148" i="1"/>
  <c r="DE148" i="1"/>
  <c r="CS149" i="1"/>
  <c r="CV149" i="1"/>
  <c r="CY149" i="1"/>
  <c r="CS150" i="1"/>
  <c r="CV150" i="1"/>
  <c r="CY150" i="1"/>
  <c r="CS151" i="1"/>
  <c r="CV151" i="1"/>
  <c r="CY151" i="1"/>
  <c r="DE151" i="1"/>
  <c r="CS158" i="1"/>
  <c r="CV158" i="1"/>
  <c r="CY158" i="1"/>
  <c r="DE158" i="1"/>
  <c r="CS159" i="1"/>
  <c r="CW159" i="1"/>
  <c r="CY159" i="1"/>
  <c r="DE159" i="1"/>
  <c r="DU101" i="1"/>
  <c r="DT101" i="1"/>
  <c r="DO101" i="1"/>
  <c r="DN101" i="1"/>
  <c r="DL101" i="1"/>
  <c r="DK101" i="1"/>
  <c r="DI101" i="1"/>
  <c r="DH101" i="1"/>
  <c r="DU100" i="1"/>
  <c r="DT100" i="1"/>
  <c r="DO100" i="1"/>
  <c r="DN100" i="1"/>
  <c r="DL100" i="1"/>
  <c r="DK100" i="1"/>
  <c r="DI100" i="1"/>
  <c r="DH100" i="1"/>
  <c r="DU99" i="1"/>
  <c r="DT99" i="1"/>
  <c r="DO99" i="1"/>
  <c r="DN99" i="1"/>
  <c r="DL99" i="1"/>
  <c r="DK99" i="1"/>
  <c r="DI99" i="1"/>
  <c r="DH99" i="1"/>
  <c r="DU98" i="1"/>
  <c r="DT98" i="1"/>
  <c r="DO98" i="1"/>
  <c r="DN98" i="1"/>
  <c r="DL98" i="1"/>
  <c r="DK98" i="1"/>
  <c r="DI98" i="1"/>
  <c r="DH98" i="1"/>
  <c r="DT91" i="1"/>
  <c r="DO91" i="1"/>
  <c r="DN91" i="1"/>
  <c r="DL91" i="1"/>
  <c r="DK91" i="1"/>
  <c r="DI91" i="1"/>
  <c r="DH91" i="1"/>
  <c r="DT90" i="1"/>
  <c r="DN90" i="1"/>
  <c r="DK90" i="1"/>
  <c r="DH90" i="1"/>
  <c r="DT89" i="1"/>
  <c r="DN89" i="1"/>
  <c r="DK89" i="1"/>
  <c r="DH89" i="1"/>
  <c r="DT88" i="1"/>
  <c r="DN88" i="1"/>
  <c r="DK88" i="1"/>
  <c r="DH88" i="1"/>
  <c r="DT81" i="1"/>
  <c r="DO81" i="1"/>
  <c r="DN81" i="1"/>
  <c r="DL81" i="1"/>
  <c r="DK81" i="1"/>
  <c r="DI81" i="1"/>
  <c r="DH81" i="1"/>
  <c r="DU80" i="1"/>
  <c r="DT80" i="1"/>
  <c r="DO80" i="1"/>
  <c r="DN80" i="1"/>
  <c r="DL80" i="1"/>
  <c r="DK80" i="1"/>
  <c r="DI80" i="1"/>
  <c r="DH80" i="1"/>
  <c r="DU79" i="1"/>
  <c r="DT79" i="1"/>
  <c r="DO79" i="1"/>
  <c r="DN79" i="1"/>
  <c r="DL79" i="1"/>
  <c r="DK79" i="1"/>
  <c r="DI79" i="1"/>
  <c r="DH79" i="1"/>
  <c r="DU78" i="1"/>
  <c r="DT78" i="1"/>
  <c r="DO78" i="1"/>
  <c r="DN78" i="1"/>
  <c r="DL78" i="1"/>
  <c r="DK78" i="1"/>
  <c r="DI78" i="1"/>
  <c r="DH78" i="1"/>
  <c r="DU61" i="1"/>
  <c r="DT61" i="1"/>
  <c r="DO61" i="1"/>
  <c r="DN61" i="1"/>
  <c r="DL61" i="1"/>
  <c r="DK61" i="1"/>
  <c r="DI61" i="1"/>
  <c r="DH61" i="1"/>
  <c r="DU60" i="1"/>
  <c r="DT60" i="1"/>
  <c r="DO60" i="1"/>
  <c r="DL60" i="1"/>
  <c r="DK60" i="1"/>
  <c r="DI60" i="1"/>
  <c r="DH60" i="1"/>
  <c r="DU59" i="1"/>
  <c r="DT59" i="1"/>
  <c r="DO59" i="1"/>
  <c r="DN59" i="1"/>
  <c r="DL59" i="1"/>
  <c r="DK59" i="1"/>
  <c r="DI59" i="1"/>
  <c r="DH59" i="1"/>
  <c r="DU58" i="1"/>
  <c r="DT58" i="1"/>
  <c r="DO58" i="1"/>
  <c r="DN58" i="1"/>
  <c r="DL58" i="1"/>
  <c r="DK58" i="1"/>
  <c r="DI58" i="1"/>
  <c r="DH58" i="1"/>
  <c r="DT40" i="1"/>
  <c r="DR40" i="1"/>
  <c r="DN40" i="1"/>
  <c r="DK40" i="1"/>
  <c r="DH40" i="1"/>
  <c r="DT39" i="1"/>
  <c r="DR39" i="1"/>
  <c r="DN39" i="1"/>
  <c r="DK39" i="1"/>
  <c r="DH39" i="1"/>
  <c r="DT38" i="1"/>
  <c r="DR38" i="1"/>
  <c r="DN38" i="1"/>
  <c r="DK38" i="1"/>
  <c r="DH38" i="1"/>
  <c r="DT31" i="1"/>
  <c r="DR31" i="1"/>
  <c r="DH31" i="1"/>
  <c r="DQ30" i="1"/>
  <c r="DO30" i="1"/>
  <c r="DL30" i="1"/>
  <c r="DI30" i="1"/>
  <c r="DU29" i="1"/>
  <c r="DQ29" i="1"/>
  <c r="DO29" i="1"/>
  <c r="DL29" i="1"/>
  <c r="DI29" i="1"/>
  <c r="DU28" i="1"/>
  <c r="DQ28" i="1"/>
  <c r="DO28" i="1"/>
  <c r="DL28" i="1"/>
  <c r="DI28" i="1"/>
  <c r="DT21" i="1"/>
  <c r="DO21" i="1"/>
  <c r="DN21" i="1"/>
  <c r="DL21" i="1"/>
  <c r="DK21" i="1"/>
  <c r="DI21" i="1"/>
  <c r="DH21" i="1"/>
  <c r="DT20" i="1"/>
  <c r="DO20" i="1"/>
  <c r="DN20" i="1"/>
  <c r="DL20" i="1"/>
  <c r="DK20" i="1"/>
  <c r="DI20" i="1"/>
  <c r="DH20" i="1"/>
  <c r="DT19" i="1"/>
  <c r="DO19" i="1"/>
  <c r="DN19" i="1"/>
  <c r="DL19" i="1"/>
  <c r="DK19" i="1"/>
  <c r="DI19" i="1"/>
  <c r="DH19" i="1"/>
  <c r="DT18" i="1"/>
  <c r="DO18" i="1"/>
  <c r="DN18" i="1"/>
  <c r="DL18" i="1"/>
  <c r="DK18" i="1"/>
  <c r="DI18" i="1"/>
  <c r="DH18" i="1"/>
  <c r="DT11" i="1"/>
  <c r="DR11" i="1"/>
  <c r="DN11" i="1"/>
  <c r="DK11" i="1"/>
  <c r="DH11" i="1"/>
  <c r="DT10" i="1"/>
  <c r="DR10" i="1"/>
  <c r="DN10" i="1"/>
  <c r="DK10" i="1"/>
  <c r="DH10" i="1"/>
  <c r="DT9" i="1"/>
  <c r="DR9" i="1"/>
  <c r="DN9" i="1"/>
  <c r="DK9" i="1"/>
  <c r="DH9" i="1"/>
  <c r="DT8" i="1"/>
  <c r="DR8" i="1"/>
  <c r="DN8" i="1"/>
  <c r="DK8" i="1"/>
  <c r="DH8" i="1"/>
  <c r="DF101" i="1"/>
  <c r="DE101" i="1"/>
  <c r="CZ101" i="1"/>
  <c r="CW101" i="1"/>
  <c r="CV101" i="1"/>
  <c r="CT101" i="1"/>
  <c r="CS101" i="1"/>
  <c r="DF100" i="1"/>
  <c r="DE100" i="1"/>
  <c r="CZ100" i="1"/>
  <c r="CY100" i="1"/>
  <c r="CW100" i="1"/>
  <c r="CV100" i="1"/>
  <c r="CT100" i="1"/>
  <c r="CS100" i="1"/>
  <c r="DF99" i="1"/>
  <c r="CZ99" i="1"/>
  <c r="CY99" i="1"/>
  <c r="CW99" i="1"/>
  <c r="CV99" i="1"/>
  <c r="CT99" i="1"/>
  <c r="CS99" i="1"/>
  <c r="DF98" i="1"/>
  <c r="CZ98" i="1"/>
  <c r="CY98" i="1"/>
  <c r="CW98" i="1"/>
  <c r="CV98" i="1"/>
  <c r="CT98" i="1"/>
  <c r="CS98" i="1"/>
  <c r="DE91" i="1"/>
  <c r="CZ91" i="1"/>
  <c r="CY91" i="1"/>
  <c r="CW91" i="1"/>
  <c r="CV91" i="1"/>
  <c r="CT91" i="1"/>
  <c r="CS91" i="1"/>
  <c r="DE90" i="1"/>
  <c r="CY90" i="1"/>
  <c r="CV90" i="1"/>
  <c r="CS90" i="1"/>
  <c r="DE89" i="1"/>
  <c r="CY89" i="1"/>
  <c r="CV89" i="1"/>
  <c r="CS89" i="1"/>
  <c r="DE88" i="1"/>
  <c r="CY88" i="1"/>
  <c r="CV88" i="1"/>
  <c r="CS88" i="1"/>
  <c r="DE81" i="1"/>
  <c r="CZ81" i="1"/>
  <c r="CY81" i="1"/>
  <c r="CW81" i="1"/>
  <c r="CV81" i="1"/>
  <c r="CT81" i="1"/>
  <c r="CS81" i="1"/>
  <c r="DF80" i="1"/>
  <c r="DE80" i="1"/>
  <c r="CZ80" i="1"/>
  <c r="CY80" i="1"/>
  <c r="CW80" i="1"/>
  <c r="CV80" i="1"/>
  <c r="CT80" i="1"/>
  <c r="CS80" i="1"/>
  <c r="DF79" i="1"/>
  <c r="DE79" i="1"/>
  <c r="CZ79" i="1"/>
  <c r="CY79" i="1"/>
  <c r="CW79" i="1"/>
  <c r="CV79" i="1"/>
  <c r="CT79" i="1"/>
  <c r="CS79" i="1"/>
  <c r="DF78" i="1"/>
  <c r="CZ78" i="1"/>
  <c r="CY78" i="1"/>
  <c r="CW78" i="1"/>
  <c r="CV78" i="1"/>
  <c r="CT78" i="1"/>
  <c r="CS78" i="1"/>
  <c r="DF61" i="1"/>
  <c r="DE61" i="1"/>
  <c r="CZ61" i="1"/>
  <c r="CY61" i="1"/>
  <c r="CW61" i="1"/>
  <c r="CV61" i="1"/>
  <c r="CT61" i="1"/>
  <c r="CS61" i="1"/>
  <c r="DF60" i="1"/>
  <c r="DE60" i="1"/>
  <c r="CZ60" i="1"/>
  <c r="CY60" i="1"/>
  <c r="CV60" i="1"/>
  <c r="CT60" i="1"/>
  <c r="CS60" i="1"/>
  <c r="DF59" i="1"/>
  <c r="DE59" i="1"/>
  <c r="CZ59" i="1"/>
  <c r="CY59" i="1"/>
  <c r="CV59" i="1"/>
  <c r="CT59" i="1"/>
  <c r="CS59" i="1"/>
  <c r="DF58" i="1"/>
  <c r="DE58" i="1"/>
  <c r="CZ58" i="1"/>
  <c r="CY58" i="1"/>
  <c r="CW58" i="1"/>
  <c r="CV58" i="1"/>
  <c r="CT58" i="1"/>
  <c r="CS58" i="1"/>
  <c r="DF39" i="1"/>
  <c r="CZ39" i="1"/>
  <c r="CW39" i="1"/>
  <c r="CT39" i="1"/>
  <c r="DF38" i="1"/>
  <c r="CZ38" i="1"/>
  <c r="CW38" i="1"/>
  <c r="CT38" i="1"/>
  <c r="DC31" i="1"/>
  <c r="CY31" i="1"/>
  <c r="CV31" i="1"/>
  <c r="CS31" i="1"/>
  <c r="DE30" i="1"/>
  <c r="DC30" i="1"/>
  <c r="CY30" i="1"/>
  <c r="CV30" i="1"/>
  <c r="CS30" i="1"/>
  <c r="DE29" i="1"/>
  <c r="DC29" i="1"/>
  <c r="CY29" i="1"/>
  <c r="CV29" i="1"/>
  <c r="CS29" i="1"/>
  <c r="DE28" i="1"/>
  <c r="DC28" i="1"/>
  <c r="CY28" i="1"/>
  <c r="CV28" i="1"/>
  <c r="CS28" i="1"/>
  <c r="EI11" i="1"/>
  <c r="EG11" i="1"/>
  <c r="EC11" i="1"/>
  <c r="DZ11" i="1"/>
  <c r="DW11" i="1"/>
  <c r="EI10" i="1"/>
  <c r="EG10" i="1"/>
  <c r="EC10" i="1"/>
  <c r="DZ10" i="1"/>
  <c r="DW10" i="1"/>
  <c r="EI9" i="1"/>
  <c r="EG9" i="1"/>
  <c r="EC9" i="1"/>
  <c r="DZ9" i="1"/>
  <c r="DW9" i="1"/>
  <c r="EI8" i="1"/>
  <c r="EG8" i="1"/>
  <c r="EC8" i="1"/>
  <c r="DZ8" i="1"/>
  <c r="DW8" i="1"/>
  <c r="D62" i="109"/>
  <c r="C62" i="109"/>
  <c r="G62" i="109"/>
  <c r="F62" i="109"/>
  <c r="J62" i="109"/>
  <c r="I62" i="109"/>
  <c r="P62" i="109"/>
  <c r="O62" i="109"/>
  <c r="L62" i="109"/>
  <c r="D63" i="109"/>
  <c r="C63" i="109"/>
  <c r="G63" i="109"/>
  <c r="F63" i="109"/>
  <c r="J63" i="109"/>
  <c r="I63" i="109"/>
  <c r="P63" i="109"/>
  <c r="D64" i="109"/>
  <c r="G64" i="109"/>
  <c r="F64" i="109"/>
  <c r="J64" i="109"/>
  <c r="I64" i="109"/>
  <c r="P64" i="109"/>
  <c r="O64" i="109"/>
  <c r="D65" i="109"/>
  <c r="C65" i="109"/>
  <c r="G65" i="109"/>
  <c r="F65" i="109"/>
  <c r="J65" i="109"/>
  <c r="I65" i="109"/>
  <c r="P65" i="109"/>
  <c r="U116" i="109"/>
  <c r="T116" i="109"/>
  <c r="X116" i="109"/>
  <c r="W116" i="109"/>
  <c r="AA116" i="109"/>
  <c r="Z116" i="109"/>
  <c r="AG116" i="109"/>
  <c r="AF116" i="109"/>
  <c r="U117" i="109"/>
  <c r="T117" i="109"/>
  <c r="X117" i="109"/>
  <c r="W117" i="109"/>
  <c r="AA117" i="109"/>
  <c r="Z117" i="109"/>
  <c r="AG117" i="109"/>
  <c r="U118" i="109"/>
  <c r="X118" i="109"/>
  <c r="W118" i="109"/>
  <c r="AA118" i="109"/>
  <c r="Z118" i="109"/>
  <c r="AG118" i="109"/>
  <c r="AF118" i="109"/>
  <c r="T116" i="108"/>
  <c r="U116" i="108"/>
  <c r="X116" i="108"/>
  <c r="W116" i="108"/>
  <c r="AA116" i="108"/>
  <c r="Z116" i="108"/>
  <c r="AG116" i="108"/>
  <c r="AF116" i="108"/>
  <c r="U117" i="108"/>
  <c r="T117" i="108"/>
  <c r="X117" i="108"/>
  <c r="W117" i="108"/>
  <c r="AA117" i="108"/>
  <c r="Z117" i="108"/>
  <c r="AG117" i="108"/>
  <c r="U118" i="108"/>
  <c r="T118" i="108"/>
  <c r="W118" i="108"/>
  <c r="X118" i="108"/>
  <c r="AA118" i="108"/>
  <c r="Z118" i="108"/>
  <c r="AG118" i="108"/>
  <c r="AF118" i="108"/>
  <c r="U107" i="107"/>
  <c r="T107" i="107"/>
  <c r="X107" i="107"/>
  <c r="W107" i="107"/>
  <c r="AA107" i="107"/>
  <c r="Z107" i="107"/>
  <c r="AD107" i="107"/>
  <c r="AG107" i="107"/>
  <c r="AF107" i="107"/>
  <c r="U108" i="107"/>
  <c r="T108" i="107"/>
  <c r="X108" i="107"/>
  <c r="W108" i="107"/>
  <c r="AA108" i="107"/>
  <c r="Z108" i="107"/>
  <c r="AG108" i="107"/>
  <c r="AF108" i="107"/>
  <c r="U109" i="107"/>
  <c r="T109" i="107"/>
  <c r="X109" i="107"/>
  <c r="W109" i="107"/>
  <c r="AA109" i="107"/>
  <c r="Z109" i="107"/>
  <c r="AG109" i="107"/>
  <c r="AF109" i="107"/>
  <c r="BM51" i="1"/>
  <c r="BM50" i="1"/>
  <c r="BM49" i="1"/>
  <c r="BM48" i="1"/>
  <c r="BM47" i="1"/>
  <c r="BM46" i="1"/>
  <c r="BM45" i="1"/>
  <c r="BE55" i="1"/>
  <c r="BE56" i="1"/>
  <c r="BE57" i="1"/>
  <c r="BE58" i="1"/>
  <c r="DB151" i="1"/>
  <c r="DD151" i="1"/>
  <c r="EF141" i="1"/>
  <c r="EH141" i="1"/>
  <c r="EF151" i="1"/>
  <c r="EH151" i="1"/>
  <c r="DQ141" i="1"/>
  <c r="DS141" i="1"/>
  <c r="DQ151" i="1"/>
  <c r="DS151" i="1"/>
  <c r="DQ11" i="1"/>
  <c r="DS11" i="1"/>
  <c r="Z104" i="1"/>
  <c r="AA104" i="1"/>
  <c r="EG19" i="1"/>
  <c r="DR20" i="1"/>
  <c r="EF10" i="1"/>
  <c r="EH10" i="1"/>
  <c r="DN60" i="1"/>
  <c r="DQ38" i="1"/>
  <c r="DS38" i="1"/>
  <c r="EI100" i="1"/>
  <c r="DQ10" i="1"/>
  <c r="DS10" i="1"/>
  <c r="EI80" i="1"/>
  <c r="AC109" i="107"/>
  <c r="EF9" i="1"/>
  <c r="EH9" i="1"/>
  <c r="DR29" i="1"/>
  <c r="DS29" i="1"/>
  <c r="Z114" i="1"/>
  <c r="AA114" i="1"/>
  <c r="DR21" i="1"/>
  <c r="EF11" i="1"/>
  <c r="EH11" i="1"/>
  <c r="DQ9" i="1"/>
  <c r="DS9" i="1"/>
  <c r="DR19" i="1"/>
  <c r="DQ31" i="1"/>
  <c r="DS31" i="1"/>
  <c r="EF8" i="1"/>
  <c r="EH8" i="1"/>
  <c r="DQ8" i="1"/>
  <c r="DS8" i="1"/>
  <c r="DB29" i="1"/>
  <c r="DD29" i="1"/>
  <c r="EG21" i="1"/>
  <c r="EF40" i="1"/>
  <c r="EH40" i="1"/>
  <c r="EI78" i="1"/>
  <c r="EI101" i="1"/>
  <c r="X114" i="1"/>
  <c r="DB30" i="1"/>
  <c r="DD30" i="1"/>
  <c r="DQ20" i="1"/>
  <c r="DQ21" i="1"/>
  <c r="EF38" i="1"/>
  <c r="EH38" i="1"/>
  <c r="DB28" i="1"/>
  <c r="DD28" i="1"/>
  <c r="DQ40" i="1"/>
  <c r="DS40" i="1"/>
  <c r="EF18" i="1"/>
  <c r="DQ18" i="1"/>
  <c r="EF39" i="1"/>
  <c r="EH39" i="1"/>
  <c r="DR30" i="1"/>
  <c r="DS30" i="1"/>
  <c r="DQ39" i="1"/>
  <c r="DS39" i="1"/>
  <c r="DB31" i="1"/>
  <c r="DD31" i="1"/>
  <c r="EF21" i="1"/>
  <c r="DR28" i="1"/>
  <c r="DS28" i="1"/>
  <c r="M65" i="109"/>
  <c r="M64" i="109"/>
  <c r="M62" i="109"/>
  <c r="N62" i="109"/>
  <c r="M63" i="109"/>
  <c r="EF20" i="1"/>
  <c r="EF19" i="1"/>
  <c r="EG20" i="1"/>
  <c r="EG18" i="1"/>
  <c r="DN138" i="1"/>
  <c r="DE129" i="1"/>
  <c r="DE139" i="1"/>
  <c r="CS141" i="1"/>
  <c r="DB141" i="1"/>
  <c r="DD141" i="1"/>
  <c r="DQ19" i="1"/>
  <c r="DR18" i="1"/>
  <c r="DE78" i="1"/>
  <c r="CY101" i="1"/>
  <c r="AC107" i="107"/>
  <c r="AE107" i="107"/>
  <c r="AD118" i="108"/>
  <c r="AC116" i="108"/>
  <c r="AD117" i="108"/>
  <c r="O63" i="109"/>
  <c r="L63" i="109"/>
  <c r="N63" i="109"/>
  <c r="O65" i="109"/>
  <c r="L65" i="109"/>
  <c r="N65" i="109"/>
  <c r="C64" i="109"/>
  <c r="L64" i="109"/>
  <c r="AD118" i="109"/>
  <c r="AD116" i="109"/>
  <c r="AD117" i="109"/>
  <c r="AC116" i="109"/>
  <c r="AE116" i="109"/>
  <c r="AF117" i="109"/>
  <c r="AC117" i="109"/>
  <c r="AE117" i="109"/>
  <c r="T118" i="109"/>
  <c r="AC118" i="109"/>
  <c r="AE118" i="109"/>
  <c r="AC118" i="108"/>
  <c r="AD116" i="108"/>
  <c r="AF117" i="108"/>
  <c r="AC117" i="108"/>
  <c r="AE117" i="108"/>
  <c r="AC108" i="107"/>
  <c r="AD109" i="107"/>
  <c r="AD108" i="107"/>
  <c r="DS18" i="1"/>
  <c r="DS20" i="1"/>
  <c r="DS19" i="1"/>
  <c r="EH19" i="1"/>
  <c r="EH21" i="1"/>
  <c r="DS21" i="1"/>
  <c r="AE109" i="107"/>
  <c r="EH18" i="1"/>
  <c r="N64" i="109"/>
  <c r="EH20" i="1"/>
  <c r="AE116" i="108"/>
  <c r="AE118" i="108"/>
  <c r="AE108" i="107"/>
  <c r="AW106" i="1"/>
  <c r="AX106" i="1"/>
  <c r="J105" i="1"/>
  <c r="J106" i="1"/>
  <c r="I105" i="1"/>
  <c r="I106" i="1"/>
  <c r="BR111" i="1"/>
  <c r="BS111" i="1"/>
  <c r="BR110" i="1"/>
  <c r="BS110" i="1"/>
  <c r="BR109" i="1"/>
  <c r="BS109" i="1"/>
  <c r="BR108" i="1"/>
  <c r="BS108" i="1"/>
  <c r="BR107" i="1"/>
  <c r="BS107" i="1"/>
  <c r="BR106" i="1"/>
  <c r="BS106" i="1"/>
  <c r="BR105" i="1"/>
  <c r="AW107" i="1"/>
  <c r="AW108" i="1"/>
  <c r="AV107" i="1"/>
  <c r="AV108" i="1"/>
  <c r="J108" i="1"/>
  <c r="J107" i="1"/>
  <c r="I107" i="1"/>
  <c r="I108" i="1"/>
  <c r="AQ111" i="1"/>
  <c r="AQ110" i="1"/>
  <c r="AQ109" i="1"/>
  <c r="AQ108" i="1"/>
  <c r="AQ107" i="1"/>
  <c r="AQ106" i="1"/>
  <c r="AQ105" i="1"/>
  <c r="AQ104" i="1"/>
  <c r="AQ103" i="1"/>
  <c r="AL111" i="1"/>
  <c r="AL110" i="1"/>
  <c r="AL109" i="1"/>
  <c r="AL108" i="1"/>
  <c r="AL107" i="1"/>
  <c r="AL106" i="1"/>
  <c r="AL105" i="1"/>
  <c r="AL104" i="1"/>
  <c r="AL103" i="1"/>
  <c r="AG111" i="1"/>
  <c r="AG110" i="1"/>
  <c r="AG109" i="1"/>
  <c r="AG108" i="1"/>
  <c r="AG107" i="1"/>
  <c r="AG106" i="1"/>
  <c r="AG105" i="1"/>
  <c r="AG104" i="1"/>
  <c r="AG103" i="1"/>
  <c r="Y111" i="1"/>
  <c r="Z112" i="1"/>
  <c r="AA112" i="1"/>
  <c r="Y110" i="1"/>
  <c r="Y109" i="1"/>
  <c r="Y108" i="1"/>
  <c r="Y107" i="1"/>
  <c r="Y106" i="1"/>
  <c r="Y105" i="1"/>
  <c r="Z105" i="1"/>
  <c r="AA105" i="1"/>
  <c r="X104" i="1"/>
  <c r="M104" i="1"/>
  <c r="L104" i="1"/>
  <c r="M103" i="1"/>
  <c r="L103" i="1"/>
  <c r="J109" i="1"/>
  <c r="J110" i="1"/>
  <c r="J111" i="1"/>
  <c r="I109" i="1"/>
  <c r="H111" i="1"/>
  <c r="Q111" i="1"/>
  <c r="G111" i="1"/>
  <c r="R111" i="1"/>
  <c r="H110" i="1"/>
  <c r="G110" i="1"/>
  <c r="S110" i="1"/>
  <c r="H109" i="1"/>
  <c r="Q109" i="1"/>
  <c r="G109" i="1"/>
  <c r="R109" i="1"/>
  <c r="H108" i="1"/>
  <c r="G108" i="1"/>
  <c r="S108" i="1"/>
  <c r="H107" i="1"/>
  <c r="Q107" i="1"/>
  <c r="G107" i="1"/>
  <c r="R107" i="1"/>
  <c r="H106" i="1"/>
  <c r="Q106" i="1"/>
  <c r="G106" i="1"/>
  <c r="R106" i="1"/>
  <c r="H105" i="1"/>
  <c r="Q105" i="1"/>
  <c r="G105" i="1"/>
  <c r="R105" i="1"/>
  <c r="H104" i="1"/>
  <c r="Q104" i="1"/>
  <c r="G104" i="1"/>
  <c r="H103" i="1"/>
  <c r="Q103" i="1"/>
  <c r="G103" i="1"/>
  <c r="S103" i="1"/>
  <c r="AW109" i="1"/>
  <c r="AW111" i="1"/>
  <c r="AV109" i="1"/>
  <c r="AW110" i="1"/>
  <c r="AV110" i="1"/>
  <c r="AX105" i="1"/>
  <c r="BG110" i="1"/>
  <c r="BH110" i="1"/>
  <c r="BG111" i="1"/>
  <c r="BH111" i="1"/>
  <c r="BN111" i="1"/>
  <c r="BN110" i="1"/>
  <c r="BN109" i="1"/>
  <c r="BH109" i="1"/>
  <c r="AG118" i="1"/>
  <c r="J116" i="1"/>
  <c r="I115" i="1"/>
  <c r="I116" i="1"/>
  <c r="J115" i="1"/>
  <c r="AW63" i="1"/>
  <c r="AW64" i="1"/>
  <c r="AW65" i="1"/>
  <c r="AV65" i="1"/>
  <c r="AV63" i="1"/>
  <c r="AV64" i="1"/>
  <c r="AU44" i="1"/>
  <c r="AW44" i="1"/>
  <c r="AW43" i="1"/>
  <c r="AV43" i="1"/>
  <c r="AV44" i="1"/>
  <c r="AW68" i="1"/>
  <c r="AV68" i="1"/>
  <c r="AW66" i="1"/>
  <c r="AW67" i="1"/>
  <c r="AV66" i="1"/>
  <c r="AV67" i="1"/>
  <c r="N104" i="1"/>
  <c r="AX107" i="1"/>
  <c r="CE107" i="1"/>
  <c r="L107" i="1"/>
  <c r="N107" i="1"/>
  <c r="AX111" i="1"/>
  <c r="CE111" i="1"/>
  <c r="AX110" i="1"/>
  <c r="L110" i="1"/>
  <c r="N110" i="1"/>
  <c r="M109" i="1"/>
  <c r="O109" i="1"/>
  <c r="P109" i="1"/>
  <c r="BT109" i="1"/>
  <c r="BQ109" i="1"/>
  <c r="S111" i="1"/>
  <c r="AR109" i="1"/>
  <c r="AX109" i="1"/>
  <c r="CD109" i="1"/>
  <c r="M107" i="1"/>
  <c r="O107" i="1"/>
  <c r="P107" i="1"/>
  <c r="BT107" i="1"/>
  <c r="AX108" i="1"/>
  <c r="CE108" i="1"/>
  <c r="L109" i="1"/>
  <c r="N109" i="1"/>
  <c r="S106" i="1"/>
  <c r="S109" i="1"/>
  <c r="L111" i="1"/>
  <c r="N111" i="1"/>
  <c r="Q110" i="1"/>
  <c r="R103" i="1"/>
  <c r="N103" i="1"/>
  <c r="L105" i="1"/>
  <c r="N105" i="1"/>
  <c r="L106" i="1"/>
  <c r="N106" i="1"/>
  <c r="M105" i="1"/>
  <c r="O105" i="1"/>
  <c r="P105" i="1"/>
  <c r="M106" i="1"/>
  <c r="O106" i="1"/>
  <c r="P106" i="1"/>
  <c r="BT106" i="1"/>
  <c r="BH106" i="1"/>
  <c r="CE105" i="1"/>
  <c r="S105" i="1"/>
  <c r="CE106" i="1"/>
  <c r="X105" i="1"/>
  <c r="BS105" i="1"/>
  <c r="M108" i="1"/>
  <c r="O108" i="1"/>
  <c r="P108" i="1"/>
  <c r="BT108" i="1"/>
  <c r="L108" i="1"/>
  <c r="N108" i="1"/>
  <c r="S104" i="1"/>
  <c r="Q108" i="1"/>
  <c r="R108" i="1"/>
  <c r="AY106" i="1"/>
  <c r="O103" i="1"/>
  <c r="P103" i="1"/>
  <c r="S107" i="1"/>
  <c r="M110" i="1"/>
  <c r="O110" i="1"/>
  <c r="P110" i="1"/>
  <c r="BT110" i="1"/>
  <c r="BQ110" i="1"/>
  <c r="M111" i="1"/>
  <c r="O111" i="1"/>
  <c r="P111" i="1"/>
  <c r="BT111" i="1"/>
  <c r="CD106" i="1"/>
  <c r="R104" i="1"/>
  <c r="AS106" i="1"/>
  <c r="CD105" i="1"/>
  <c r="R110" i="1"/>
  <c r="O104" i="1"/>
  <c r="P104" i="1"/>
  <c r="AY105" i="1"/>
  <c r="AR103" i="1"/>
  <c r="AR104" i="1"/>
  <c r="AR105" i="1"/>
  <c r="AR107" i="1"/>
  <c r="AS108" i="1"/>
  <c r="AR108" i="1"/>
  <c r="AS105" i="1"/>
  <c r="AS104" i="1"/>
  <c r="AR106" i="1"/>
  <c r="AS107" i="1"/>
  <c r="AR110" i="1"/>
  <c r="BA112" i="1"/>
  <c r="AR111" i="1"/>
  <c r="AS109" i="1"/>
  <c r="AS110" i="1"/>
  <c r="AS103" i="1"/>
  <c r="AS111" i="1"/>
  <c r="Z106" i="1"/>
  <c r="AA106" i="1"/>
  <c r="Z109" i="1"/>
  <c r="AA109" i="1"/>
  <c r="X107" i="1"/>
  <c r="Z108" i="1"/>
  <c r="AA108" i="1"/>
  <c r="Z111" i="1"/>
  <c r="AA111" i="1"/>
  <c r="Z107" i="1"/>
  <c r="AA107" i="1"/>
  <c r="X111" i="1"/>
  <c r="X108" i="1"/>
  <c r="Z110" i="1"/>
  <c r="AA110" i="1"/>
  <c r="CD110" i="1"/>
  <c r="AY112" i="1"/>
  <c r="AZ112" i="1"/>
  <c r="CD111" i="1"/>
  <c r="CD107" i="1"/>
  <c r="AY107" i="1"/>
  <c r="CD108" i="1"/>
  <c r="AY111" i="1"/>
  <c r="AY110" i="1"/>
  <c r="CE110" i="1"/>
  <c r="AY109" i="1"/>
  <c r="AY108" i="1"/>
  <c r="CE109" i="1"/>
  <c r="BK111" i="1"/>
  <c r="BQ111" i="1"/>
  <c r="BK110" i="1"/>
  <c r="BU110" i="1"/>
  <c r="BV110" i="1"/>
  <c r="BT105" i="1"/>
  <c r="BN105" i="1"/>
  <c r="X106" i="1"/>
  <c r="BH105" i="1"/>
  <c r="BK109" i="1"/>
  <c r="BU109" i="1"/>
  <c r="BQ106" i="1"/>
  <c r="BN106" i="1"/>
  <c r="BK106" i="1"/>
  <c r="BN107" i="1"/>
  <c r="BQ107" i="1"/>
  <c r="BH107" i="1"/>
  <c r="BK107" i="1"/>
  <c r="BH108" i="1"/>
  <c r="BQ108" i="1"/>
  <c r="BK108" i="1"/>
  <c r="BN108" i="1"/>
  <c r="AZ106" i="1"/>
  <c r="BB106" i="1"/>
  <c r="BA111" i="1"/>
  <c r="AZ108" i="1"/>
  <c r="BA105" i="1"/>
  <c r="BC105" i="1"/>
  <c r="BA106" i="1"/>
  <c r="BC106" i="1"/>
  <c r="BA109" i="1"/>
  <c r="BA110" i="1"/>
  <c r="BA108" i="1"/>
  <c r="AZ109" i="1"/>
  <c r="AZ107" i="1"/>
  <c r="AZ105" i="1"/>
  <c r="BB105" i="1"/>
  <c r="BA107" i="1"/>
  <c r="AZ110" i="1"/>
  <c r="AZ111" i="1"/>
  <c r="X109" i="1"/>
  <c r="X110" i="1"/>
  <c r="BC112" i="1"/>
  <c r="CI112" i="1"/>
  <c r="BB112" i="1"/>
  <c r="CF112" i="1"/>
  <c r="BB107" i="1"/>
  <c r="BY110" i="1"/>
  <c r="BZ110" i="1"/>
  <c r="CA110" i="1"/>
  <c r="BW110" i="1"/>
  <c r="BC107" i="1"/>
  <c r="BB109" i="1"/>
  <c r="BB111" i="1"/>
  <c r="BB110" i="1"/>
  <c r="CF110" i="1"/>
  <c r="CH110" i="1"/>
  <c r="BC110" i="1"/>
  <c r="BC111" i="1"/>
  <c r="BC108" i="1"/>
  <c r="BC109" i="1"/>
  <c r="BB108" i="1"/>
  <c r="BQ105" i="1"/>
  <c r="BU111" i="1"/>
  <c r="BK105" i="1"/>
  <c r="BW109" i="1"/>
  <c r="BY109" i="1"/>
  <c r="BZ109" i="1"/>
  <c r="CB109" i="1"/>
  <c r="BV109" i="1"/>
  <c r="BU106" i="1"/>
  <c r="BY106" i="1"/>
  <c r="BZ106" i="1"/>
  <c r="BU108" i="1"/>
  <c r="BY108" i="1"/>
  <c r="BZ108" i="1"/>
  <c r="BU107" i="1"/>
  <c r="CM112" i="1"/>
  <c r="CN112" i="1"/>
  <c r="CO112" i="1"/>
  <c r="CH112" i="1"/>
  <c r="CG112" i="1"/>
  <c r="CK112" i="1"/>
  <c r="CJ112" i="1"/>
  <c r="CB110" i="1"/>
  <c r="CG110" i="1"/>
  <c r="CC110" i="1"/>
  <c r="CI110" i="1"/>
  <c r="CK110" i="1"/>
  <c r="CF109" i="1"/>
  <c r="CH109" i="1"/>
  <c r="CI109" i="1"/>
  <c r="CK109" i="1"/>
  <c r="BU105" i="1"/>
  <c r="BY105" i="1"/>
  <c r="BZ105" i="1"/>
  <c r="CC105" i="1"/>
  <c r="BY111" i="1"/>
  <c r="BZ111" i="1"/>
  <c r="BV111" i="1"/>
  <c r="CF111" i="1"/>
  <c r="CM111" i="1"/>
  <c r="CN111" i="1"/>
  <c r="CO111" i="1"/>
  <c r="BW111" i="1"/>
  <c r="CI111" i="1"/>
  <c r="CK111" i="1"/>
  <c r="CA109" i="1"/>
  <c r="CC109" i="1"/>
  <c r="BV106" i="1"/>
  <c r="CF106" i="1"/>
  <c r="CM106" i="1"/>
  <c r="CN106" i="1"/>
  <c r="CO106" i="1"/>
  <c r="BW106" i="1"/>
  <c r="CI106" i="1"/>
  <c r="CK106" i="1"/>
  <c r="CB106" i="1"/>
  <c r="CA106" i="1"/>
  <c r="CC106" i="1"/>
  <c r="BV108" i="1"/>
  <c r="CF108" i="1"/>
  <c r="BW108" i="1"/>
  <c r="CI108" i="1"/>
  <c r="CK108" i="1"/>
  <c r="BY107" i="1"/>
  <c r="BZ107" i="1"/>
  <c r="BV107" i="1"/>
  <c r="CF107" i="1"/>
  <c r="BW107" i="1"/>
  <c r="CI107" i="1"/>
  <c r="CB108" i="1"/>
  <c r="CC108" i="1"/>
  <c r="CA108" i="1"/>
  <c r="CM110" i="1"/>
  <c r="CN110" i="1"/>
  <c r="CO110" i="1"/>
  <c r="CM109" i="1"/>
  <c r="CN109" i="1"/>
  <c r="CO109" i="1"/>
  <c r="CG109" i="1"/>
  <c r="CJ110" i="1"/>
  <c r="CH111" i="1"/>
  <c r="CB105" i="1"/>
  <c r="BW105" i="1"/>
  <c r="CI105" i="1"/>
  <c r="CK105" i="1"/>
  <c r="CA105" i="1"/>
  <c r="BV105" i="1"/>
  <c r="CF105" i="1"/>
  <c r="CM105" i="1"/>
  <c r="CN105" i="1"/>
  <c r="CO105" i="1"/>
  <c r="CJ109" i="1"/>
  <c r="CB111" i="1"/>
  <c r="CG111" i="1"/>
  <c r="CA111" i="1"/>
  <c r="CC111" i="1"/>
  <c r="CJ111" i="1"/>
  <c r="CJ106" i="1"/>
  <c r="CG106" i="1"/>
  <c r="CH106" i="1"/>
  <c r="CJ108" i="1"/>
  <c r="CM108" i="1"/>
  <c r="CN108" i="1"/>
  <c r="CO108" i="1"/>
  <c r="CH108" i="1"/>
  <c r="CG108" i="1"/>
  <c r="CK107" i="1"/>
  <c r="CM107" i="1"/>
  <c r="CN107" i="1"/>
  <c r="CO107" i="1"/>
  <c r="CH107" i="1"/>
  <c r="CB107" i="1"/>
  <c r="CG107" i="1"/>
  <c r="CC107" i="1"/>
  <c r="CJ107" i="1"/>
  <c r="CA107" i="1"/>
  <c r="CG105" i="1"/>
  <c r="CH105" i="1"/>
  <c r="CJ105" i="1"/>
  <c r="W68" i="1"/>
  <c r="AW69" i="1"/>
  <c r="AV69" i="1"/>
  <c r="AW70" i="1"/>
  <c r="AV70" i="1"/>
  <c r="AW71" i="1"/>
  <c r="AV71" i="1"/>
  <c r="M71" i="1"/>
  <c r="L71" i="1"/>
  <c r="M70" i="1"/>
  <c r="L70" i="1"/>
  <c r="M69" i="1"/>
  <c r="L69" i="1"/>
  <c r="L68" i="1"/>
  <c r="M68" i="1"/>
  <c r="L67" i="1"/>
  <c r="M67" i="1"/>
  <c r="L66" i="1"/>
  <c r="M66" i="1"/>
  <c r="AQ71" i="1"/>
  <c r="AL71" i="1"/>
  <c r="AG71" i="1"/>
  <c r="AQ70" i="1"/>
  <c r="AL70" i="1"/>
  <c r="AG70" i="1"/>
  <c r="AQ69" i="1"/>
  <c r="AL69" i="1"/>
  <c r="AG69" i="1"/>
  <c r="AX68" i="1"/>
  <c r="AQ68" i="1"/>
  <c r="AL68" i="1"/>
  <c r="AG68" i="1"/>
  <c r="AX67" i="1"/>
  <c r="AQ67" i="1"/>
  <c r="AL67" i="1"/>
  <c r="AG67" i="1"/>
  <c r="AX66" i="1"/>
  <c r="AQ66" i="1"/>
  <c r="AL66" i="1"/>
  <c r="AG66" i="1"/>
  <c r="AX65" i="1"/>
  <c r="AQ65" i="1"/>
  <c r="AL65" i="1"/>
  <c r="AG65" i="1"/>
  <c r="AX64" i="1"/>
  <c r="AQ64" i="1"/>
  <c r="AL64" i="1"/>
  <c r="AG64" i="1"/>
  <c r="AX63" i="1"/>
  <c r="AQ63" i="1"/>
  <c r="AL63" i="1"/>
  <c r="AG63" i="1"/>
  <c r="Y71" i="1"/>
  <c r="Z72" i="1"/>
  <c r="AA72" i="1"/>
  <c r="W71" i="1"/>
  <c r="X72" i="1"/>
  <c r="Y70" i="1"/>
  <c r="W70" i="1"/>
  <c r="Y69" i="1"/>
  <c r="W69" i="1"/>
  <c r="Y68" i="1"/>
  <c r="Y67" i="1"/>
  <c r="W67" i="1"/>
  <c r="Y66" i="1"/>
  <c r="W66" i="1"/>
  <c r="Y65" i="1"/>
  <c r="W65" i="1"/>
  <c r="Y64" i="1"/>
  <c r="W64" i="1"/>
  <c r="Y63" i="1"/>
  <c r="W63" i="1"/>
  <c r="M65" i="1"/>
  <c r="L65" i="1"/>
  <c r="M64" i="1"/>
  <c r="L64" i="1"/>
  <c r="M63" i="1"/>
  <c r="L63" i="1"/>
  <c r="H71" i="1"/>
  <c r="Q71" i="1"/>
  <c r="G71" i="1"/>
  <c r="S71" i="1"/>
  <c r="H70" i="1"/>
  <c r="G70" i="1"/>
  <c r="H69" i="1"/>
  <c r="G69" i="1"/>
  <c r="S69" i="1"/>
  <c r="H68" i="1"/>
  <c r="Q68" i="1"/>
  <c r="G68" i="1"/>
  <c r="H67" i="1"/>
  <c r="G67" i="1"/>
  <c r="H66" i="1"/>
  <c r="Q66" i="1"/>
  <c r="G66" i="1"/>
  <c r="S66" i="1"/>
  <c r="H65" i="1"/>
  <c r="G65" i="1"/>
  <c r="S65" i="1"/>
  <c r="H64" i="1"/>
  <c r="Q64" i="1"/>
  <c r="G64" i="1"/>
  <c r="S64" i="1"/>
  <c r="H63" i="1"/>
  <c r="Q63" i="1"/>
  <c r="G63" i="1"/>
  <c r="R63" i="1"/>
  <c r="AU45" i="1"/>
  <c r="AV45" i="1"/>
  <c r="AW45" i="1"/>
  <c r="AU46" i="1"/>
  <c r="AW46" i="1"/>
  <c r="AV46" i="1"/>
  <c r="O47" i="108"/>
  <c r="O46" i="108"/>
  <c r="O45" i="108"/>
  <c r="O44" i="108"/>
  <c r="O47" i="107"/>
  <c r="O46" i="107"/>
  <c r="O45" i="107"/>
  <c r="O44" i="107"/>
  <c r="AX69" i="1"/>
  <c r="Z65" i="1"/>
  <c r="AA65" i="1"/>
  <c r="N70" i="1"/>
  <c r="O70" i="1"/>
  <c r="P70" i="1"/>
  <c r="BT70" i="1"/>
  <c r="BH70" i="1"/>
  <c r="Z64" i="1"/>
  <c r="AA64" i="1"/>
  <c r="X65" i="1"/>
  <c r="O65" i="1"/>
  <c r="P65" i="1"/>
  <c r="BT65" i="1"/>
  <c r="BQ65" i="1"/>
  <c r="AX71" i="1"/>
  <c r="CE71" i="1"/>
  <c r="AX70" i="1"/>
  <c r="S70" i="1"/>
  <c r="X64" i="1"/>
  <c r="N64" i="1"/>
  <c r="R64" i="1"/>
  <c r="CE65" i="1"/>
  <c r="AY66" i="1"/>
  <c r="Q65" i="1"/>
  <c r="N65" i="1"/>
  <c r="CD66" i="1"/>
  <c r="CE66" i="1"/>
  <c r="CD67" i="1"/>
  <c r="CE67" i="1"/>
  <c r="CD68" i="1"/>
  <c r="O67" i="1"/>
  <c r="P67" i="1"/>
  <c r="BT67" i="1"/>
  <c r="BQ67" i="1"/>
  <c r="N67" i="1"/>
  <c r="Q67" i="1"/>
  <c r="R67" i="1"/>
  <c r="R68" i="1"/>
  <c r="S68" i="1"/>
  <c r="Z68" i="1"/>
  <c r="AA68" i="1"/>
  <c r="CE69" i="1"/>
  <c r="AS67" i="1"/>
  <c r="AR71" i="1"/>
  <c r="AS70" i="1"/>
  <c r="AR64" i="1"/>
  <c r="AS64" i="1"/>
  <c r="AR65" i="1"/>
  <c r="AS63" i="1"/>
  <c r="AS69" i="1"/>
  <c r="N63" i="1"/>
  <c r="O63" i="1"/>
  <c r="P63" i="1"/>
  <c r="S63" i="1"/>
  <c r="O64" i="1"/>
  <c r="P64" i="1"/>
  <c r="BN65" i="1"/>
  <c r="R65" i="1"/>
  <c r="CD65" i="1"/>
  <c r="N66" i="1"/>
  <c r="O66" i="1"/>
  <c r="P66" i="1"/>
  <c r="BT66" i="1"/>
  <c r="R66" i="1"/>
  <c r="BN67" i="1"/>
  <c r="S67" i="1"/>
  <c r="CE68" i="1"/>
  <c r="O68" i="1"/>
  <c r="P68" i="1"/>
  <c r="BT68" i="1"/>
  <c r="O69" i="1"/>
  <c r="P69" i="1"/>
  <c r="BT69" i="1"/>
  <c r="BH69" i="1"/>
  <c r="Q69" i="1"/>
  <c r="R69" i="1"/>
  <c r="CD69" i="1"/>
  <c r="Q70" i="1"/>
  <c r="R70" i="1"/>
  <c r="N71" i="1"/>
  <c r="O71" i="1"/>
  <c r="P71" i="1"/>
  <c r="BT71" i="1"/>
  <c r="BK71" i="1"/>
  <c r="BN69" i="1"/>
  <c r="R71" i="1"/>
  <c r="X66" i="1"/>
  <c r="Z66" i="1"/>
  <c r="AA66" i="1"/>
  <c r="X67" i="1"/>
  <c r="Z67" i="1"/>
  <c r="AA67" i="1"/>
  <c r="X68" i="1"/>
  <c r="X69" i="1"/>
  <c r="Z69" i="1"/>
  <c r="AA69" i="1"/>
  <c r="X70" i="1"/>
  <c r="Z70" i="1"/>
  <c r="AA70" i="1"/>
  <c r="X71" i="1"/>
  <c r="Z71" i="1"/>
  <c r="AA71" i="1"/>
  <c r="BN70" i="1"/>
  <c r="AY68" i="1"/>
  <c r="AY70" i="1"/>
  <c r="AY67" i="1"/>
  <c r="AY69" i="1"/>
  <c r="AS71" i="1"/>
  <c r="AS68" i="1"/>
  <c r="AS66" i="1"/>
  <c r="AR68" i="1"/>
  <c r="AS65" i="1"/>
  <c r="AR66" i="1"/>
  <c r="AR69" i="1"/>
  <c r="AR67" i="1"/>
  <c r="AR63" i="1"/>
  <c r="AR70" i="1"/>
  <c r="BA72" i="1"/>
  <c r="AY65" i="1"/>
  <c r="N68" i="1"/>
  <c r="N69" i="1"/>
  <c r="AZ72" i="1"/>
  <c r="CE70" i="1"/>
  <c r="AY72" i="1"/>
  <c r="CD71" i="1"/>
  <c r="BK70" i="1"/>
  <c r="BQ70" i="1"/>
  <c r="BH65" i="1"/>
  <c r="CD70" i="1"/>
  <c r="BK65" i="1"/>
  <c r="BH67" i="1"/>
  <c r="BQ69" i="1"/>
  <c r="BK67" i="1"/>
  <c r="BK69" i="1"/>
  <c r="AY71" i="1"/>
  <c r="AZ67" i="1"/>
  <c r="BB67" i="1"/>
  <c r="BA65" i="1"/>
  <c r="BC65" i="1"/>
  <c r="AZ66" i="1"/>
  <c r="BB66" i="1"/>
  <c r="AZ69" i="1"/>
  <c r="BB69" i="1"/>
  <c r="AZ71" i="1"/>
  <c r="BH66" i="1"/>
  <c r="BQ66" i="1"/>
  <c r="BN66" i="1"/>
  <c r="BK66" i="1"/>
  <c r="BH68" i="1"/>
  <c r="BQ68" i="1"/>
  <c r="BN68" i="1"/>
  <c r="BK68" i="1"/>
  <c r="BQ71" i="1"/>
  <c r="BH71" i="1"/>
  <c r="BN71" i="1"/>
  <c r="AZ70" i="1"/>
  <c r="BB70" i="1"/>
  <c r="BA71" i="1"/>
  <c r="AZ68" i="1"/>
  <c r="BB68" i="1"/>
  <c r="AZ65" i="1"/>
  <c r="BB65" i="1"/>
  <c r="BA68" i="1"/>
  <c r="BC68" i="1"/>
  <c r="BA67" i="1"/>
  <c r="BC67" i="1"/>
  <c r="BA66" i="1"/>
  <c r="BC66" i="1"/>
  <c r="BA69" i="1"/>
  <c r="BC69" i="1"/>
  <c r="BA70" i="1"/>
  <c r="BC70" i="1"/>
  <c r="BB72" i="1"/>
  <c r="CF72" i="1"/>
  <c r="BC72" i="1"/>
  <c r="CI72" i="1"/>
  <c r="BU70" i="1"/>
  <c r="BY70" i="1"/>
  <c r="BZ70" i="1"/>
  <c r="CC70" i="1"/>
  <c r="BU65" i="1"/>
  <c r="BY65" i="1"/>
  <c r="BZ65" i="1"/>
  <c r="BU67" i="1"/>
  <c r="BY67" i="1"/>
  <c r="BZ67" i="1"/>
  <c r="BU69" i="1"/>
  <c r="BV69" i="1"/>
  <c r="CF69" i="1"/>
  <c r="CM69" i="1"/>
  <c r="CN69" i="1"/>
  <c r="CO69" i="1"/>
  <c r="BC71" i="1"/>
  <c r="BB71" i="1"/>
  <c r="BU71" i="1"/>
  <c r="BV71" i="1"/>
  <c r="BU66" i="1"/>
  <c r="BU68" i="1"/>
  <c r="CB70" i="1"/>
  <c r="CA70" i="1"/>
  <c r="BV70" i="1"/>
  <c r="CF70" i="1"/>
  <c r="BW70" i="1"/>
  <c r="CI70" i="1"/>
  <c r="CK70" i="1"/>
  <c r="CK72" i="1"/>
  <c r="CJ72" i="1"/>
  <c r="CH72" i="1"/>
  <c r="CM72" i="1"/>
  <c r="CN72" i="1"/>
  <c r="CO72" i="1"/>
  <c r="CG72" i="1"/>
  <c r="BW67" i="1"/>
  <c r="CI67" i="1"/>
  <c r="BV67" i="1"/>
  <c r="CF67" i="1"/>
  <c r="CM67" i="1"/>
  <c r="CN67" i="1"/>
  <c r="CO67" i="1"/>
  <c r="BV65" i="1"/>
  <c r="CF65" i="1"/>
  <c r="CM65" i="1"/>
  <c r="CN65" i="1"/>
  <c r="CO65" i="1"/>
  <c r="BW65" i="1"/>
  <c r="CI65" i="1"/>
  <c r="CK65" i="1"/>
  <c r="BY69" i="1"/>
  <c r="BZ69" i="1"/>
  <c r="CC69" i="1"/>
  <c r="BW69" i="1"/>
  <c r="CI69" i="1"/>
  <c r="CK69" i="1"/>
  <c r="CF71" i="1"/>
  <c r="CM71" i="1"/>
  <c r="CN71" i="1"/>
  <c r="CO71" i="1"/>
  <c r="BY71" i="1"/>
  <c r="BZ71" i="1"/>
  <c r="CB71" i="1"/>
  <c r="BW71" i="1"/>
  <c r="CI71" i="1"/>
  <c r="CK71" i="1"/>
  <c r="CJ70" i="1"/>
  <c r="CH69" i="1"/>
  <c r="CB65" i="1"/>
  <c r="CA65" i="1"/>
  <c r="CC65" i="1"/>
  <c r="BY66" i="1"/>
  <c r="BZ66" i="1"/>
  <c r="BW66" i="1"/>
  <c r="CI66" i="1"/>
  <c r="BV66" i="1"/>
  <c r="CF66" i="1"/>
  <c r="CK67" i="1"/>
  <c r="CA67" i="1"/>
  <c r="CC67" i="1"/>
  <c r="CB67" i="1"/>
  <c r="BY68" i="1"/>
  <c r="BZ68" i="1"/>
  <c r="BW68" i="1"/>
  <c r="CI68" i="1"/>
  <c r="BV68" i="1"/>
  <c r="CF68" i="1"/>
  <c r="CG70" i="1"/>
  <c r="CM70" i="1"/>
  <c r="CN70" i="1"/>
  <c r="CO70" i="1"/>
  <c r="CH70" i="1"/>
  <c r="CG67" i="1"/>
  <c r="CJ67" i="1"/>
  <c r="CJ69" i="1"/>
  <c r="CG65" i="1"/>
  <c r="CH65" i="1"/>
  <c r="CA69" i="1"/>
  <c r="CB69" i="1"/>
  <c r="CG69" i="1"/>
  <c r="CH67" i="1"/>
  <c r="CJ65" i="1"/>
  <c r="CH71" i="1"/>
  <c r="CG71" i="1"/>
  <c r="CC71" i="1"/>
  <c r="CJ71" i="1"/>
  <c r="CA71" i="1"/>
  <c r="CM66" i="1"/>
  <c r="CN66" i="1"/>
  <c r="CO66" i="1"/>
  <c r="CH66" i="1"/>
  <c r="CK66" i="1"/>
  <c r="CB66" i="1"/>
  <c r="CG66" i="1"/>
  <c r="CA66" i="1"/>
  <c r="CC66" i="1"/>
  <c r="CJ66" i="1"/>
  <c r="CK68" i="1"/>
  <c r="CA68" i="1"/>
  <c r="CB68" i="1"/>
  <c r="CG68" i="1"/>
  <c r="CC68" i="1"/>
  <c r="CJ68" i="1"/>
  <c r="CM68" i="1"/>
  <c r="CN68" i="1"/>
  <c r="CO68" i="1"/>
  <c r="CH68" i="1"/>
  <c r="AW47" i="1"/>
  <c r="AW48" i="1"/>
  <c r="AV47" i="1"/>
  <c r="AV48" i="1"/>
  <c r="BN51" i="1"/>
  <c r="BE51" i="1"/>
  <c r="BK49" i="1"/>
  <c r="BH51" i="1"/>
  <c r="AW49" i="1"/>
  <c r="AV49" i="1"/>
  <c r="AW50" i="1"/>
  <c r="AV50" i="1"/>
  <c r="AW51" i="1"/>
  <c r="AV51" i="1"/>
  <c r="AX43" i="1"/>
  <c r="AX44" i="1"/>
  <c r="AX45" i="1"/>
  <c r="AX46" i="1"/>
  <c r="AX47" i="1"/>
  <c r="AX48" i="1"/>
  <c r="AQ51" i="1"/>
  <c r="AL51" i="1"/>
  <c r="AQ50" i="1"/>
  <c r="AL50" i="1"/>
  <c r="AQ49" i="1"/>
  <c r="AL49" i="1"/>
  <c r="AQ48" i="1"/>
  <c r="AL48" i="1"/>
  <c r="AQ47" i="1"/>
  <c r="AL47" i="1"/>
  <c r="AQ46" i="1"/>
  <c r="AL46" i="1"/>
  <c r="AQ45" i="1"/>
  <c r="AL45" i="1"/>
  <c r="AQ44" i="1"/>
  <c r="AL44" i="1"/>
  <c r="AQ43" i="1"/>
  <c r="AL43" i="1"/>
  <c r="AG51" i="1"/>
  <c r="AG50" i="1"/>
  <c r="AG49" i="1"/>
  <c r="AG48" i="1"/>
  <c r="AG47" i="1"/>
  <c r="AG46" i="1"/>
  <c r="AG45" i="1"/>
  <c r="AG44" i="1"/>
  <c r="AG43" i="1"/>
  <c r="BN158" i="1"/>
  <c r="BN157" i="1"/>
  <c r="BN156" i="1"/>
  <c r="BN155" i="1"/>
  <c r="BQ151" i="1"/>
  <c r="BQ150" i="1"/>
  <c r="BQ149" i="1"/>
  <c r="BQ148" i="1"/>
  <c r="BQ147" i="1"/>
  <c r="BQ146" i="1"/>
  <c r="BQ145" i="1"/>
  <c r="BN151" i="1"/>
  <c r="BN150" i="1"/>
  <c r="BN149" i="1"/>
  <c r="BN147" i="1"/>
  <c r="BN146" i="1"/>
  <c r="BN145" i="1"/>
  <c r="BK151" i="1"/>
  <c r="BK150" i="1"/>
  <c r="BK149" i="1"/>
  <c r="BK148" i="1"/>
  <c r="BK147" i="1"/>
  <c r="BK146" i="1"/>
  <c r="BK145" i="1"/>
  <c r="BH151" i="1"/>
  <c r="BH150" i="1"/>
  <c r="BH149" i="1"/>
  <c r="BH148" i="1"/>
  <c r="BH147" i="1"/>
  <c r="BH146" i="1"/>
  <c r="BH145" i="1"/>
  <c r="BQ141" i="1"/>
  <c r="BQ140" i="1"/>
  <c r="BQ139" i="1"/>
  <c r="BQ138" i="1"/>
  <c r="BQ137" i="1"/>
  <c r="BQ136" i="1"/>
  <c r="BQ135" i="1"/>
  <c r="BN141" i="1"/>
  <c r="BN140" i="1"/>
  <c r="BN139" i="1"/>
  <c r="BN138" i="1"/>
  <c r="BN137" i="1"/>
  <c r="BN136" i="1"/>
  <c r="BN135" i="1"/>
  <c r="BH141" i="1"/>
  <c r="BH140" i="1"/>
  <c r="BH139" i="1"/>
  <c r="BH138" i="1"/>
  <c r="BH137" i="1"/>
  <c r="BH136" i="1"/>
  <c r="BH135" i="1"/>
  <c r="BN131" i="1"/>
  <c r="BN130" i="1"/>
  <c r="BN129" i="1"/>
  <c r="BN128" i="1"/>
  <c r="BN127" i="1"/>
  <c r="BN126" i="1"/>
  <c r="BN125" i="1"/>
  <c r="BF99" i="1"/>
  <c r="BF100" i="1"/>
  <c r="AX51" i="1"/>
  <c r="AX49" i="1"/>
  <c r="AY49" i="1"/>
  <c r="AY45" i="1"/>
  <c r="AX50" i="1"/>
  <c r="AY46" i="1"/>
  <c r="AY47" i="1"/>
  <c r="AY48" i="1"/>
  <c r="BQ51" i="1"/>
  <c r="BK50" i="1"/>
  <c r="BH50" i="1"/>
  <c r="BN50" i="1"/>
  <c r="BE50" i="1"/>
  <c r="BH49" i="1"/>
  <c r="BQ49" i="1"/>
  <c r="AS46" i="1"/>
  <c r="AS47" i="1"/>
  <c r="AS45" i="1"/>
  <c r="AS43" i="1"/>
  <c r="AS50" i="1"/>
  <c r="AS49" i="1"/>
  <c r="AS51" i="1"/>
  <c r="AS44" i="1"/>
  <c r="AS48" i="1"/>
  <c r="AR51" i="1"/>
  <c r="AR43" i="1"/>
  <c r="AR45" i="1"/>
  <c r="AR47" i="1"/>
  <c r="AR49" i="1"/>
  <c r="AR44" i="1"/>
  <c r="AR46" i="1"/>
  <c r="AR48" i="1"/>
  <c r="AR50" i="1"/>
  <c r="BA52" i="1"/>
  <c r="AY52" i="1"/>
  <c r="BC52" i="1"/>
  <c r="CI52" i="1"/>
  <c r="AZ52" i="1"/>
  <c r="AY50" i="1"/>
  <c r="AY51" i="1"/>
  <c r="AZ45" i="1"/>
  <c r="BB45" i="1"/>
  <c r="BA51" i="1"/>
  <c r="AZ51" i="1"/>
  <c r="BA45" i="1"/>
  <c r="BC45" i="1"/>
  <c r="AZ46" i="1"/>
  <c r="BB46" i="1"/>
  <c r="BA46" i="1"/>
  <c r="BC46" i="1"/>
  <c r="AZ47" i="1"/>
  <c r="BB47" i="1"/>
  <c r="BA47" i="1"/>
  <c r="BC47" i="1"/>
  <c r="BA49" i="1"/>
  <c r="BC49" i="1"/>
  <c r="BA48" i="1"/>
  <c r="BC48" i="1"/>
  <c r="BA50" i="1"/>
  <c r="BC50" i="1"/>
  <c r="AZ49" i="1"/>
  <c r="BB49" i="1"/>
  <c r="AZ48" i="1"/>
  <c r="BB48" i="1"/>
  <c r="AZ50" i="1"/>
  <c r="BB52" i="1"/>
  <c r="CF52" i="1"/>
  <c r="CM52" i="1"/>
  <c r="CN52" i="1"/>
  <c r="CO52" i="1"/>
  <c r="CH52" i="1"/>
  <c r="CK52" i="1"/>
  <c r="CJ52" i="1"/>
  <c r="BB50" i="1"/>
  <c r="BC51" i="1"/>
  <c r="BB51" i="1"/>
  <c r="BE99" i="1"/>
  <c r="BN91" i="1"/>
  <c r="BN90" i="1"/>
  <c r="BN89" i="1"/>
  <c r="BN88" i="1"/>
  <c r="BN87" i="1"/>
  <c r="BN86" i="1"/>
  <c r="BN85" i="1"/>
  <c r="BH81" i="1"/>
  <c r="BH80" i="1"/>
  <c r="BH79" i="1"/>
  <c r="BH78" i="1"/>
  <c r="BH77" i="1"/>
  <c r="BH76" i="1"/>
  <c r="BH75" i="1"/>
  <c r="BN81" i="1"/>
  <c r="BN80" i="1"/>
  <c r="BN79" i="1"/>
  <c r="BN78" i="1"/>
  <c r="BN77" i="1"/>
  <c r="BN76" i="1"/>
  <c r="BN75" i="1"/>
  <c r="BN61" i="1"/>
  <c r="BN60" i="1"/>
  <c r="BN59" i="1"/>
  <c r="BN58" i="1"/>
  <c r="BN57" i="1"/>
  <c r="BN56" i="1"/>
  <c r="BN55" i="1"/>
  <c r="BN41" i="1"/>
  <c r="BN40" i="1"/>
  <c r="BN39" i="1"/>
  <c r="BN38" i="1"/>
  <c r="BN37" i="1"/>
  <c r="BN36" i="1"/>
  <c r="BN35" i="1"/>
  <c r="BQ31" i="1"/>
  <c r="BQ30" i="1"/>
  <c r="BQ29" i="1"/>
  <c r="BQ28" i="1"/>
  <c r="BQ27" i="1"/>
  <c r="BQ26" i="1"/>
  <c r="BQ25" i="1"/>
  <c r="BN31" i="1"/>
  <c r="BN30" i="1"/>
  <c r="BN29" i="1"/>
  <c r="BN28" i="1"/>
  <c r="BN27" i="1"/>
  <c r="BN26" i="1"/>
  <c r="BN25" i="1"/>
  <c r="BK31" i="1"/>
  <c r="BK30" i="1"/>
  <c r="BK29" i="1"/>
  <c r="BK28" i="1"/>
  <c r="BK27" i="1"/>
  <c r="BK26" i="1"/>
  <c r="BK25" i="1"/>
  <c r="BH31" i="1"/>
  <c r="BH30" i="1"/>
  <c r="BH29" i="1"/>
  <c r="BH28" i="1"/>
  <c r="BH27" i="1"/>
  <c r="BH26" i="1"/>
  <c r="BH25" i="1"/>
  <c r="BH11" i="1"/>
  <c r="BH10" i="1"/>
  <c r="BH9" i="1"/>
  <c r="BH8" i="1"/>
  <c r="BH7" i="1"/>
  <c r="BH6" i="1"/>
  <c r="BH5" i="1"/>
  <c r="BN21" i="1"/>
  <c r="BN20" i="1"/>
  <c r="BN19" i="1"/>
  <c r="BN18" i="1"/>
  <c r="BN17" i="1"/>
  <c r="BN16" i="1"/>
  <c r="BN15" i="1"/>
  <c r="BN11" i="1"/>
  <c r="BN10" i="1"/>
  <c r="BN9" i="1"/>
  <c r="BN8" i="1"/>
  <c r="BN7" i="1"/>
  <c r="BN6" i="1"/>
  <c r="BN5" i="1"/>
  <c r="CG52" i="1"/>
  <c r="M51" i="1"/>
  <c r="L51" i="1"/>
  <c r="M50" i="1"/>
  <c r="L50" i="1"/>
  <c r="M49" i="1"/>
  <c r="L49" i="1"/>
  <c r="M48" i="1"/>
  <c r="L48" i="1"/>
  <c r="M47" i="1"/>
  <c r="L47" i="1"/>
  <c r="M46" i="1"/>
  <c r="L46" i="1"/>
  <c r="M45" i="1"/>
  <c r="L45" i="1"/>
  <c r="M44" i="1"/>
  <c r="L44" i="1"/>
  <c r="M43" i="1"/>
  <c r="L43" i="1"/>
  <c r="H51" i="1"/>
  <c r="H50" i="1"/>
  <c r="CE50" i="1"/>
  <c r="H49" i="1"/>
  <c r="H48" i="1"/>
  <c r="CE48" i="1"/>
  <c r="H47" i="1"/>
  <c r="CE47" i="1"/>
  <c r="H46" i="1"/>
  <c r="CE46" i="1"/>
  <c r="H45" i="1"/>
  <c r="H44" i="1"/>
  <c r="Q44" i="1"/>
  <c r="H43" i="1"/>
  <c r="Q43" i="1"/>
  <c r="G51" i="1"/>
  <c r="G50" i="1"/>
  <c r="G49" i="1"/>
  <c r="CD49" i="1"/>
  <c r="G48" i="1"/>
  <c r="G47" i="1"/>
  <c r="CD47" i="1"/>
  <c r="G46" i="1"/>
  <c r="G45" i="1"/>
  <c r="CD45" i="1"/>
  <c r="G44" i="1"/>
  <c r="S44" i="1"/>
  <c r="G43" i="1"/>
  <c r="S43" i="1"/>
  <c r="Q50" i="1"/>
  <c r="S49" i="1"/>
  <c r="Q47" i="1"/>
  <c r="R47" i="1"/>
  <c r="S51" i="1"/>
  <c r="CD51" i="1"/>
  <c r="Q51" i="1"/>
  <c r="CE51" i="1"/>
  <c r="N49" i="1"/>
  <c r="R50" i="1"/>
  <c r="CD50" i="1"/>
  <c r="S47" i="1"/>
  <c r="Q49" i="1"/>
  <c r="CE49" i="1"/>
  <c r="R49" i="1"/>
  <c r="N44" i="1"/>
  <c r="O44" i="1"/>
  <c r="P44" i="1"/>
  <c r="S45" i="1"/>
  <c r="Q45" i="1"/>
  <c r="CE45" i="1"/>
  <c r="R45" i="1"/>
  <c r="N46" i="1"/>
  <c r="S46" i="1"/>
  <c r="CD46" i="1"/>
  <c r="O46" i="1"/>
  <c r="P46" i="1"/>
  <c r="BT46" i="1"/>
  <c r="Q46" i="1"/>
  <c r="O47" i="1"/>
  <c r="P47" i="1"/>
  <c r="BT47" i="1"/>
  <c r="BN47" i="1"/>
  <c r="BE47" i="1"/>
  <c r="N48" i="1"/>
  <c r="O48" i="1"/>
  <c r="P48" i="1"/>
  <c r="BT48" i="1"/>
  <c r="Q48" i="1"/>
  <c r="R48" i="1"/>
  <c r="CD48" i="1"/>
  <c r="S48" i="1"/>
  <c r="O49" i="1"/>
  <c r="P49" i="1"/>
  <c r="BT49" i="1"/>
  <c r="BN49" i="1"/>
  <c r="S50" i="1"/>
  <c r="N43" i="1"/>
  <c r="R44" i="1"/>
  <c r="N51" i="1"/>
  <c r="O43" i="1"/>
  <c r="P43" i="1"/>
  <c r="O51" i="1"/>
  <c r="P51" i="1"/>
  <c r="BT51" i="1"/>
  <c r="BK51" i="1"/>
  <c r="BU51" i="1"/>
  <c r="N45" i="1"/>
  <c r="R46" i="1"/>
  <c r="R43" i="1"/>
  <c r="O45" i="1"/>
  <c r="P45" i="1"/>
  <c r="BT45" i="1"/>
  <c r="N50" i="1"/>
  <c r="R51" i="1"/>
  <c r="N47" i="1"/>
  <c r="O50" i="1"/>
  <c r="P50" i="1"/>
  <c r="BT50" i="1"/>
  <c r="BQ50" i="1"/>
  <c r="BU50" i="1"/>
  <c r="BE49" i="1"/>
  <c r="BU49" i="1"/>
  <c r="BV51" i="1"/>
  <c r="CF51" i="1"/>
  <c r="BY51" i="1"/>
  <c r="BZ51" i="1"/>
  <c r="BW51" i="1"/>
  <c r="CI51" i="1"/>
  <c r="CK51" i="1"/>
  <c r="BV50" i="1"/>
  <c r="CF50" i="1"/>
  <c r="BW50" i="1"/>
  <c r="CI50" i="1"/>
  <c r="CK50" i="1"/>
  <c r="BY50" i="1"/>
  <c r="BZ50" i="1"/>
  <c r="BH45" i="1"/>
  <c r="BK45" i="1"/>
  <c r="BQ45" i="1"/>
  <c r="BN45" i="1"/>
  <c r="BE45" i="1"/>
  <c r="BH46" i="1"/>
  <c r="BQ46" i="1"/>
  <c r="BK46" i="1"/>
  <c r="BN46" i="1"/>
  <c r="BE46" i="1"/>
  <c r="BH47" i="1"/>
  <c r="BK47" i="1"/>
  <c r="BH48" i="1"/>
  <c r="BN48" i="1"/>
  <c r="BE48" i="1"/>
  <c r="BK48" i="1"/>
  <c r="BY49" i="1"/>
  <c r="BZ49" i="1"/>
  <c r="CC49" i="1"/>
  <c r="BV49" i="1"/>
  <c r="CF49" i="1"/>
  <c r="CM49" i="1"/>
  <c r="CN49" i="1"/>
  <c r="CO49" i="1"/>
  <c r="BW49" i="1"/>
  <c r="CI49" i="1"/>
  <c r="CK49" i="1"/>
  <c r="CM50" i="1"/>
  <c r="CN50" i="1"/>
  <c r="CO50" i="1"/>
  <c r="CH50" i="1"/>
  <c r="CA51" i="1"/>
  <c r="CB51" i="1"/>
  <c r="CG51" i="1"/>
  <c r="CC51" i="1"/>
  <c r="CJ51" i="1"/>
  <c r="CB50" i="1"/>
  <c r="CG50" i="1"/>
  <c r="CC50" i="1"/>
  <c r="CJ50" i="1"/>
  <c r="CA50" i="1"/>
  <c r="CM51" i="1"/>
  <c r="CN51" i="1"/>
  <c r="CO51" i="1"/>
  <c r="CH51" i="1"/>
  <c r="BU45" i="1"/>
  <c r="BU46" i="1"/>
  <c r="CH49" i="1"/>
  <c r="CA49" i="1"/>
  <c r="CB49" i="1"/>
  <c r="CG49" i="1"/>
  <c r="CJ49" i="1"/>
  <c r="BW45" i="1"/>
  <c r="CI45" i="1"/>
  <c r="BY45" i="1"/>
  <c r="BZ45" i="1"/>
  <c r="BV45" i="1"/>
  <c r="CF45" i="1"/>
  <c r="BY46" i="1"/>
  <c r="BZ46" i="1"/>
  <c r="BW46" i="1"/>
  <c r="CI46" i="1"/>
  <c r="CK46" i="1"/>
  <c r="BV46" i="1"/>
  <c r="CF46" i="1"/>
  <c r="BE116" i="1"/>
  <c r="BE115" i="1"/>
  <c r="CM45" i="1"/>
  <c r="CN45" i="1"/>
  <c r="CO45" i="1"/>
  <c r="CH45" i="1"/>
  <c r="CA45" i="1"/>
  <c r="CC45" i="1"/>
  <c r="CJ45" i="1"/>
  <c r="CB45" i="1"/>
  <c r="CG45" i="1"/>
  <c r="CK45" i="1"/>
  <c r="CM46" i="1"/>
  <c r="CN46" i="1"/>
  <c r="CO46" i="1"/>
  <c r="CH46" i="1"/>
  <c r="CC46" i="1"/>
  <c r="CJ46" i="1"/>
  <c r="CA46" i="1"/>
  <c r="CB46" i="1"/>
  <c r="CG46" i="1"/>
  <c r="BF119" i="1"/>
  <c r="BF117" i="1"/>
  <c r="BF118" i="1"/>
  <c r="BE117" i="1"/>
  <c r="BE118" i="1"/>
  <c r="BE119" i="1"/>
  <c r="K117" i="1"/>
  <c r="F117" i="1"/>
  <c r="E117" i="1"/>
  <c r="G117" i="1"/>
  <c r="S117" i="1"/>
  <c r="K118" i="1"/>
  <c r="J118" i="1"/>
  <c r="J117" i="1"/>
  <c r="I118" i="1"/>
  <c r="I117" i="1"/>
  <c r="BE120" i="1"/>
  <c r="BE121" i="1"/>
  <c r="AX121" i="1"/>
  <c r="AX120" i="1"/>
  <c r="AX119" i="1"/>
  <c r="AX118" i="1"/>
  <c r="AX117" i="1"/>
  <c r="AX116" i="1"/>
  <c r="AX115" i="1"/>
  <c r="AX114" i="1"/>
  <c r="AX113" i="1"/>
  <c r="AQ121" i="1"/>
  <c r="AQ120" i="1"/>
  <c r="AQ119" i="1"/>
  <c r="AQ118" i="1"/>
  <c r="AQ117" i="1"/>
  <c r="AQ116" i="1"/>
  <c r="AQ115" i="1"/>
  <c r="AQ114" i="1"/>
  <c r="AQ113" i="1"/>
  <c r="AL121" i="1"/>
  <c r="AL120" i="1"/>
  <c r="AL119" i="1"/>
  <c r="AL118" i="1"/>
  <c r="AL117" i="1"/>
  <c r="AL116" i="1"/>
  <c r="AL115" i="1"/>
  <c r="AL114" i="1"/>
  <c r="AL113" i="1"/>
  <c r="AG121" i="1"/>
  <c r="AG120" i="1"/>
  <c r="AG119" i="1"/>
  <c r="AG117" i="1"/>
  <c r="AG116" i="1"/>
  <c r="AG115" i="1"/>
  <c r="AG114" i="1"/>
  <c r="AG113" i="1"/>
  <c r="Y115" i="1"/>
  <c r="Z115" i="1"/>
  <c r="AA115" i="1"/>
  <c r="Y116" i="1"/>
  <c r="Y117" i="1"/>
  <c r="Y118" i="1"/>
  <c r="Y119" i="1"/>
  <c r="Y120" i="1"/>
  <c r="Y121" i="1"/>
  <c r="Z122" i="1"/>
  <c r="AA122" i="1"/>
  <c r="J119" i="1"/>
  <c r="J120" i="1"/>
  <c r="J121" i="1"/>
  <c r="M116" i="1"/>
  <c r="L116" i="1"/>
  <c r="M115" i="1"/>
  <c r="L115" i="1"/>
  <c r="M114" i="1"/>
  <c r="L114" i="1"/>
  <c r="M113" i="1"/>
  <c r="L113" i="1"/>
  <c r="H121" i="1"/>
  <c r="Q121" i="1"/>
  <c r="G121" i="1"/>
  <c r="S121" i="1"/>
  <c r="H120" i="1"/>
  <c r="Q120" i="1"/>
  <c r="G120" i="1"/>
  <c r="R120" i="1"/>
  <c r="H119" i="1"/>
  <c r="Q119" i="1"/>
  <c r="G119" i="1"/>
  <c r="S119" i="1"/>
  <c r="H116" i="1"/>
  <c r="Q116" i="1"/>
  <c r="G116" i="1"/>
  <c r="S116" i="1"/>
  <c r="H115" i="1"/>
  <c r="Q115" i="1"/>
  <c r="G115" i="1"/>
  <c r="S115" i="1"/>
  <c r="H114" i="1"/>
  <c r="Q114" i="1"/>
  <c r="G114" i="1"/>
  <c r="S114" i="1"/>
  <c r="H113" i="1"/>
  <c r="Q113" i="1"/>
  <c r="G113" i="1"/>
  <c r="S113" i="1"/>
  <c r="I119" i="1"/>
  <c r="I120" i="1"/>
  <c r="I121" i="1"/>
  <c r="AY122" i="1"/>
  <c r="Z119" i="1"/>
  <c r="AA119" i="1"/>
  <c r="S120" i="1"/>
  <c r="L119" i="1"/>
  <c r="N119" i="1"/>
  <c r="N113" i="1"/>
  <c r="X121" i="1"/>
  <c r="AS115" i="1"/>
  <c r="AS116" i="1"/>
  <c r="X115" i="1"/>
  <c r="O115" i="1"/>
  <c r="P115" i="1"/>
  <c r="BT115" i="1"/>
  <c r="BN115" i="1"/>
  <c r="R121" i="1"/>
  <c r="N116" i="1"/>
  <c r="R113" i="1"/>
  <c r="R116" i="1"/>
  <c r="AY115" i="1"/>
  <c r="Z120" i="1"/>
  <c r="AA120" i="1"/>
  <c r="N115" i="1"/>
  <c r="Z121" i="1"/>
  <c r="AA121" i="1"/>
  <c r="L117" i="1"/>
  <c r="N117" i="1"/>
  <c r="AY117" i="1"/>
  <c r="CD117" i="1"/>
  <c r="R115" i="1"/>
  <c r="O114" i="1"/>
  <c r="P114" i="1"/>
  <c r="R119" i="1"/>
  <c r="M121" i="1"/>
  <c r="O121" i="1"/>
  <c r="P121" i="1"/>
  <c r="BT121" i="1"/>
  <c r="BN121" i="1"/>
  <c r="L120" i="1"/>
  <c r="N120" i="1"/>
  <c r="AS114" i="1"/>
  <c r="CE120" i="1"/>
  <c r="CD120" i="1"/>
  <c r="R114" i="1"/>
  <c r="O116" i="1"/>
  <c r="P116" i="1"/>
  <c r="BT116" i="1"/>
  <c r="BN116" i="1"/>
  <c r="M119" i="1"/>
  <c r="O119" i="1"/>
  <c r="P119" i="1"/>
  <c r="BT119" i="1"/>
  <c r="BN119" i="1"/>
  <c r="X118" i="1"/>
  <c r="X119" i="1"/>
  <c r="AR115" i="1"/>
  <c r="CD121" i="1"/>
  <c r="CE121" i="1"/>
  <c r="H117" i="1"/>
  <c r="Q117" i="1"/>
  <c r="O113" i="1"/>
  <c r="P113" i="1"/>
  <c r="CE115" i="1"/>
  <c r="CD115" i="1"/>
  <c r="N114" i="1"/>
  <c r="AY116" i="1"/>
  <c r="AS113" i="1"/>
  <c r="CE119" i="1"/>
  <c r="CD119" i="1"/>
  <c r="CE116" i="1"/>
  <c r="CD116" i="1"/>
  <c r="AS121" i="1"/>
  <c r="AY118" i="1"/>
  <c r="AY119" i="1"/>
  <c r="AS117" i="1"/>
  <c r="AS118" i="1"/>
  <c r="AR118" i="1"/>
  <c r="X117" i="1"/>
  <c r="Z117" i="1"/>
  <c r="AA117" i="1"/>
  <c r="M117" i="1"/>
  <c r="R117" i="1"/>
  <c r="AY120" i="1"/>
  <c r="AY121" i="1"/>
  <c r="AS119" i="1"/>
  <c r="AS120" i="1"/>
  <c r="AR113" i="1"/>
  <c r="AR121" i="1"/>
  <c r="AR116" i="1"/>
  <c r="AR119" i="1"/>
  <c r="AR114" i="1"/>
  <c r="AR117" i="1"/>
  <c r="AR120" i="1"/>
  <c r="Z118" i="1"/>
  <c r="AA118" i="1"/>
  <c r="Z116" i="1"/>
  <c r="AA116" i="1"/>
  <c r="M120" i="1"/>
  <c r="O120" i="1"/>
  <c r="P120" i="1"/>
  <c r="BT120" i="1"/>
  <c r="BN120" i="1"/>
  <c r="L121" i="1"/>
  <c r="N121" i="1"/>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L29" i="8"/>
  <c r="K29" i="8"/>
  <c r="J29" i="8"/>
  <c r="A29" i="8"/>
  <c r="L28" i="8"/>
  <c r="K28" i="8"/>
  <c r="J28" i="8"/>
  <c r="A28" i="8"/>
  <c r="A27" i="8"/>
  <c r="A26" i="8"/>
  <c r="A25" i="8"/>
  <c r="L24" i="8"/>
  <c r="K24" i="8"/>
  <c r="J24" i="8"/>
  <c r="A24" i="8"/>
  <c r="A23" i="8"/>
  <c r="A22" i="8"/>
  <c r="A21" i="8"/>
  <c r="L20" i="8"/>
  <c r="K20" i="8"/>
  <c r="J20" i="8"/>
  <c r="A20" i="8"/>
  <c r="A19" i="8"/>
  <c r="A18" i="8"/>
  <c r="A17" i="8"/>
  <c r="L16" i="8"/>
  <c r="K16" i="8"/>
  <c r="J16" i="8"/>
  <c r="A16" i="8"/>
  <c r="A15" i="8"/>
  <c r="A14" i="8"/>
  <c r="A13" i="8"/>
  <c r="L12" i="8"/>
  <c r="K12" i="8"/>
  <c r="J12" i="8"/>
  <c r="A12" i="8"/>
  <c r="A11" i="8"/>
  <c r="A10" i="8"/>
  <c r="A9" i="8"/>
  <c r="L8" i="8"/>
  <c r="K8" i="8"/>
  <c r="J8" i="8"/>
  <c r="A8" i="8"/>
  <c r="A7" i="8"/>
  <c r="A6" i="8"/>
  <c r="A5" i="8"/>
  <c r="L4" i="8"/>
  <c r="K4" i="8"/>
  <c r="J4" i="8"/>
  <c r="A4" i="8"/>
  <c r="A3" i="8"/>
  <c r="A2" i="8"/>
  <c r="D25" i="113"/>
  <c r="B25" i="113"/>
  <c r="C25" i="113"/>
  <c r="D24" i="113"/>
  <c r="B24" i="113"/>
  <c r="D23" i="113"/>
  <c r="B23" i="113"/>
  <c r="C23" i="113"/>
  <c r="D22" i="113"/>
  <c r="B22" i="113"/>
  <c r="D21" i="113"/>
  <c r="B21" i="113"/>
  <c r="D20" i="113"/>
  <c r="B20" i="113"/>
  <c r="D16" i="113"/>
  <c r="C16" i="113"/>
  <c r="B16" i="113"/>
  <c r="D15" i="113"/>
  <c r="C15" i="113"/>
  <c r="B15" i="113"/>
  <c r="D14" i="113"/>
  <c r="C14" i="113"/>
  <c r="B14" i="113"/>
  <c r="D13" i="113"/>
  <c r="C13" i="113"/>
  <c r="B13" i="113"/>
  <c r="D12" i="113"/>
  <c r="C12" i="113"/>
  <c r="B12" i="113"/>
  <c r="D11" i="113"/>
  <c r="C11" i="113"/>
  <c r="B11" i="113"/>
  <c r="I152" i="109"/>
  <c r="O146" i="109"/>
  <c r="M146" i="109"/>
  <c r="I146" i="109"/>
  <c r="F146" i="109"/>
  <c r="C146" i="109"/>
  <c r="O145" i="109"/>
  <c r="M145" i="109"/>
  <c r="I145" i="109"/>
  <c r="F145" i="109"/>
  <c r="C145" i="109"/>
  <c r="L145" i="109"/>
  <c r="N145" i="109"/>
  <c r="O144" i="109"/>
  <c r="M144" i="109"/>
  <c r="I144" i="109"/>
  <c r="F144" i="109"/>
  <c r="C144" i="109"/>
  <c r="M143" i="109"/>
  <c r="L143" i="109"/>
  <c r="O137" i="109"/>
  <c r="M137" i="109"/>
  <c r="I137" i="109"/>
  <c r="F137" i="109"/>
  <c r="C137" i="109"/>
  <c r="O136" i="109"/>
  <c r="M136" i="109"/>
  <c r="I136" i="109"/>
  <c r="F136" i="109"/>
  <c r="C136" i="109"/>
  <c r="O135" i="109"/>
  <c r="L135" i="109"/>
  <c r="M135" i="109"/>
  <c r="I135" i="109"/>
  <c r="F135" i="109"/>
  <c r="C135" i="109"/>
  <c r="O134" i="109"/>
  <c r="M134" i="109"/>
  <c r="I134" i="109"/>
  <c r="F134" i="109"/>
  <c r="C134" i="109"/>
  <c r="O128" i="109"/>
  <c r="J128" i="109"/>
  <c r="I128" i="109"/>
  <c r="G128" i="109"/>
  <c r="F128" i="109"/>
  <c r="D128" i="109"/>
  <c r="M128" i="109"/>
  <c r="C128" i="109"/>
  <c r="O127" i="109"/>
  <c r="J127" i="109"/>
  <c r="I127" i="109"/>
  <c r="G127" i="109"/>
  <c r="D127" i="109"/>
  <c r="C127" i="109"/>
  <c r="O126" i="109"/>
  <c r="J126" i="109"/>
  <c r="G126" i="109"/>
  <c r="F126" i="109"/>
  <c r="D126" i="109"/>
  <c r="C126" i="109"/>
  <c r="O125" i="109"/>
  <c r="J125" i="109"/>
  <c r="I125" i="109"/>
  <c r="G125" i="109"/>
  <c r="F125" i="109"/>
  <c r="D125" i="109"/>
  <c r="C125" i="109"/>
  <c r="P101" i="109"/>
  <c r="O101" i="109"/>
  <c r="J101" i="109"/>
  <c r="I101" i="109"/>
  <c r="G101" i="109"/>
  <c r="D101" i="109"/>
  <c r="C101" i="109"/>
  <c r="P100" i="109"/>
  <c r="O100" i="109"/>
  <c r="J100" i="109"/>
  <c r="G100" i="109"/>
  <c r="D100" i="109"/>
  <c r="C100" i="109"/>
  <c r="P99" i="109"/>
  <c r="J99" i="109"/>
  <c r="I99" i="109"/>
  <c r="G99" i="109"/>
  <c r="F99" i="109"/>
  <c r="D99" i="109"/>
  <c r="P98" i="109"/>
  <c r="O98" i="109"/>
  <c r="J98" i="109"/>
  <c r="G98" i="109"/>
  <c r="F98" i="109"/>
  <c r="D98" i="109"/>
  <c r="C98" i="109"/>
  <c r="O92" i="109"/>
  <c r="M92" i="109"/>
  <c r="J92" i="109"/>
  <c r="G92" i="109"/>
  <c r="F92" i="109"/>
  <c r="D92" i="109"/>
  <c r="C92" i="109"/>
  <c r="O91" i="109"/>
  <c r="M91" i="109"/>
  <c r="I91" i="109"/>
  <c r="F91" i="109"/>
  <c r="C91" i="109"/>
  <c r="O90" i="109"/>
  <c r="M90" i="109"/>
  <c r="I90" i="109"/>
  <c r="F90" i="109"/>
  <c r="C90" i="109"/>
  <c r="O89" i="109"/>
  <c r="M89" i="109"/>
  <c r="I89" i="109"/>
  <c r="F89" i="109"/>
  <c r="C89" i="109"/>
  <c r="O83" i="109"/>
  <c r="J83" i="109"/>
  <c r="I83" i="109"/>
  <c r="G83" i="109"/>
  <c r="D83" i="109"/>
  <c r="C83" i="109"/>
  <c r="P82" i="109"/>
  <c r="O82" i="109"/>
  <c r="J82" i="109"/>
  <c r="G82" i="109"/>
  <c r="D82" i="109"/>
  <c r="C82" i="109"/>
  <c r="P81" i="109"/>
  <c r="J81" i="109"/>
  <c r="I81" i="109"/>
  <c r="G81" i="109"/>
  <c r="F81" i="109"/>
  <c r="D81" i="109"/>
  <c r="C81" i="109"/>
  <c r="P80" i="109"/>
  <c r="O80" i="109"/>
  <c r="J80" i="109"/>
  <c r="I80" i="109"/>
  <c r="G80" i="109"/>
  <c r="D80" i="109"/>
  <c r="O38" i="109"/>
  <c r="M38" i="109"/>
  <c r="I38" i="109"/>
  <c r="F38" i="109"/>
  <c r="C38" i="109"/>
  <c r="O37" i="109"/>
  <c r="M37" i="109"/>
  <c r="I37" i="109"/>
  <c r="F37" i="109"/>
  <c r="C37" i="109"/>
  <c r="O36" i="109"/>
  <c r="M36" i="109"/>
  <c r="I36" i="109"/>
  <c r="F36" i="109"/>
  <c r="C36" i="109"/>
  <c r="O35" i="109"/>
  <c r="M35" i="109"/>
  <c r="I35" i="109"/>
  <c r="F35" i="109"/>
  <c r="C35" i="109"/>
  <c r="O20" i="109"/>
  <c r="J20" i="109"/>
  <c r="I20" i="109"/>
  <c r="G20" i="109"/>
  <c r="F20" i="109"/>
  <c r="D20" i="109"/>
  <c r="O19" i="109"/>
  <c r="J19" i="109"/>
  <c r="I19" i="109"/>
  <c r="G19" i="109"/>
  <c r="D19" i="109"/>
  <c r="C19" i="109"/>
  <c r="O18" i="109"/>
  <c r="J18" i="109"/>
  <c r="I18" i="109"/>
  <c r="G18" i="109"/>
  <c r="F18" i="109"/>
  <c r="D18" i="109"/>
  <c r="C18" i="109"/>
  <c r="O17" i="109"/>
  <c r="J17" i="109"/>
  <c r="I17" i="109"/>
  <c r="G17" i="109"/>
  <c r="F17" i="109"/>
  <c r="D17" i="109"/>
  <c r="C17" i="109"/>
  <c r="X16" i="109"/>
  <c r="V16" i="109"/>
  <c r="U16" i="109"/>
  <c r="T16" i="109"/>
  <c r="X15" i="109"/>
  <c r="V15" i="109"/>
  <c r="U15" i="109"/>
  <c r="T15" i="109"/>
  <c r="X14" i="109"/>
  <c r="V14" i="109"/>
  <c r="U14" i="109"/>
  <c r="T14" i="109"/>
  <c r="O11" i="109"/>
  <c r="M11" i="109"/>
  <c r="I11" i="109"/>
  <c r="F11" i="109"/>
  <c r="C11" i="109"/>
  <c r="O10" i="109"/>
  <c r="M10" i="109"/>
  <c r="I10" i="109"/>
  <c r="F10" i="109"/>
  <c r="C10" i="109"/>
  <c r="O9" i="109"/>
  <c r="M9" i="109"/>
  <c r="I9" i="109"/>
  <c r="F9" i="109"/>
  <c r="C9" i="109"/>
  <c r="O8" i="109"/>
  <c r="M8" i="109"/>
  <c r="I8" i="109"/>
  <c r="F8" i="109"/>
  <c r="C8" i="109"/>
  <c r="O155" i="108"/>
  <c r="M155" i="108"/>
  <c r="I155" i="108"/>
  <c r="F155" i="108"/>
  <c r="C155" i="108"/>
  <c r="O154" i="108"/>
  <c r="M154" i="108"/>
  <c r="I154" i="108"/>
  <c r="F154" i="108"/>
  <c r="C154" i="108"/>
  <c r="O153" i="108"/>
  <c r="M153" i="108"/>
  <c r="I153" i="108"/>
  <c r="F153" i="108"/>
  <c r="C153" i="108"/>
  <c r="O152" i="108"/>
  <c r="M152" i="108"/>
  <c r="I152" i="108"/>
  <c r="F152" i="108"/>
  <c r="C152" i="108"/>
  <c r="O146" i="108"/>
  <c r="M146" i="108"/>
  <c r="I146" i="108"/>
  <c r="F146" i="108"/>
  <c r="C146" i="108"/>
  <c r="O145" i="108"/>
  <c r="M145" i="108"/>
  <c r="I145" i="108"/>
  <c r="F145" i="108"/>
  <c r="C145" i="108"/>
  <c r="O144" i="108"/>
  <c r="M144" i="108"/>
  <c r="I144" i="108"/>
  <c r="F144" i="108"/>
  <c r="C144" i="108"/>
  <c r="O143" i="108"/>
  <c r="M143" i="108"/>
  <c r="I143" i="108"/>
  <c r="F143" i="108"/>
  <c r="C143" i="108"/>
  <c r="O137" i="108"/>
  <c r="M137" i="108"/>
  <c r="I137" i="108"/>
  <c r="F137" i="108"/>
  <c r="C137" i="108"/>
  <c r="O136" i="108"/>
  <c r="M136" i="108"/>
  <c r="I136" i="108"/>
  <c r="F136" i="108"/>
  <c r="C136" i="108"/>
  <c r="O135" i="108"/>
  <c r="M135" i="108"/>
  <c r="I135" i="108"/>
  <c r="F135" i="108"/>
  <c r="C135" i="108"/>
  <c r="O134" i="108"/>
  <c r="M134" i="108"/>
  <c r="I134" i="108"/>
  <c r="F134" i="108"/>
  <c r="C134" i="108"/>
  <c r="O128" i="108"/>
  <c r="J128" i="108"/>
  <c r="I128" i="108"/>
  <c r="G128" i="108"/>
  <c r="D128" i="108"/>
  <c r="O127" i="108"/>
  <c r="J127" i="108"/>
  <c r="G127" i="108"/>
  <c r="D127" i="108"/>
  <c r="C127" i="108"/>
  <c r="O126" i="108"/>
  <c r="J126" i="108"/>
  <c r="I126" i="108"/>
  <c r="G126" i="108"/>
  <c r="F126" i="108"/>
  <c r="D126" i="108"/>
  <c r="C126" i="108"/>
  <c r="O125" i="108"/>
  <c r="J125" i="108"/>
  <c r="G125" i="108"/>
  <c r="F125" i="108"/>
  <c r="C125" i="108"/>
  <c r="P101" i="108"/>
  <c r="O101" i="108"/>
  <c r="J101" i="108"/>
  <c r="I101" i="108"/>
  <c r="G101" i="108"/>
  <c r="D101" i="108"/>
  <c r="P100" i="108"/>
  <c r="O100" i="108"/>
  <c r="J100" i="108"/>
  <c r="G100" i="108"/>
  <c r="F100" i="108"/>
  <c r="D100" i="108"/>
  <c r="P99" i="108"/>
  <c r="O99" i="108"/>
  <c r="J99" i="108"/>
  <c r="I99" i="108"/>
  <c r="G99" i="108"/>
  <c r="F99" i="108"/>
  <c r="D99" i="108"/>
  <c r="C99" i="108"/>
  <c r="P98" i="108"/>
  <c r="J98" i="108"/>
  <c r="I98" i="108"/>
  <c r="G98" i="108"/>
  <c r="F98" i="108"/>
  <c r="D98" i="108"/>
  <c r="C98" i="108"/>
  <c r="O92" i="108"/>
  <c r="M92" i="108"/>
  <c r="J92" i="108"/>
  <c r="I92" i="108"/>
  <c r="G92" i="108"/>
  <c r="D92" i="108"/>
  <c r="C92" i="108"/>
  <c r="O91" i="108"/>
  <c r="M91" i="108"/>
  <c r="I91" i="108"/>
  <c r="F91" i="108"/>
  <c r="C91" i="108"/>
  <c r="O90" i="108"/>
  <c r="M90" i="108"/>
  <c r="I90" i="108"/>
  <c r="F90" i="108"/>
  <c r="C90" i="108"/>
  <c r="O89" i="108"/>
  <c r="M89" i="108"/>
  <c r="I89" i="108"/>
  <c r="F89" i="108"/>
  <c r="C89" i="108"/>
  <c r="O83" i="108"/>
  <c r="J83" i="108"/>
  <c r="G83" i="108"/>
  <c r="F83" i="108"/>
  <c r="D83" i="108"/>
  <c r="C83" i="108"/>
  <c r="P82" i="108"/>
  <c r="O82" i="108"/>
  <c r="J82" i="108"/>
  <c r="G82" i="108"/>
  <c r="D82" i="108"/>
  <c r="C82" i="108"/>
  <c r="P81" i="108"/>
  <c r="O81" i="108"/>
  <c r="J81" i="108"/>
  <c r="I81" i="108"/>
  <c r="G81" i="108"/>
  <c r="F81" i="108"/>
  <c r="D81" i="108"/>
  <c r="C81" i="108"/>
  <c r="P80" i="108"/>
  <c r="O80" i="108"/>
  <c r="J80" i="108"/>
  <c r="I80" i="108"/>
  <c r="G80" i="108"/>
  <c r="F80" i="108"/>
  <c r="D80" i="108"/>
  <c r="C80" i="108"/>
  <c r="P65" i="108"/>
  <c r="J65" i="108"/>
  <c r="I65" i="108"/>
  <c r="G65" i="108"/>
  <c r="F65" i="108"/>
  <c r="D65" i="108"/>
  <c r="C65" i="108"/>
  <c r="P64" i="108"/>
  <c r="J64" i="108"/>
  <c r="I64" i="108"/>
  <c r="G64" i="108"/>
  <c r="F64" i="108"/>
  <c r="D64" i="108"/>
  <c r="P63" i="108"/>
  <c r="J63" i="108"/>
  <c r="G63" i="108"/>
  <c r="F63" i="108"/>
  <c r="D63" i="108"/>
  <c r="C63" i="108"/>
  <c r="P62" i="108"/>
  <c r="J62" i="108"/>
  <c r="I62" i="108"/>
  <c r="G62" i="108"/>
  <c r="D62" i="108"/>
  <c r="C62" i="108"/>
  <c r="P56" i="108"/>
  <c r="O56" i="108"/>
  <c r="J56" i="108"/>
  <c r="G56" i="108"/>
  <c r="D56" i="108"/>
  <c r="C56" i="108"/>
  <c r="O55" i="108"/>
  <c r="J55" i="108"/>
  <c r="I55" i="108"/>
  <c r="G55" i="108"/>
  <c r="D55" i="108"/>
  <c r="C55" i="108"/>
  <c r="O54" i="108"/>
  <c r="J54" i="108"/>
  <c r="I54" i="108"/>
  <c r="G54" i="108"/>
  <c r="F54" i="108"/>
  <c r="D54" i="108"/>
  <c r="O53" i="108"/>
  <c r="J53" i="108"/>
  <c r="I53" i="108"/>
  <c r="G53" i="108"/>
  <c r="D53" i="108"/>
  <c r="O38" i="108"/>
  <c r="M38" i="108"/>
  <c r="I38" i="108"/>
  <c r="F38" i="108"/>
  <c r="C38" i="108"/>
  <c r="O37" i="108"/>
  <c r="M37" i="108"/>
  <c r="I37" i="108"/>
  <c r="F37" i="108"/>
  <c r="C37" i="108"/>
  <c r="O36" i="108"/>
  <c r="M36" i="108"/>
  <c r="I36" i="108"/>
  <c r="F36" i="108"/>
  <c r="C36" i="108"/>
  <c r="O35" i="108"/>
  <c r="M35" i="108"/>
  <c r="I35" i="108"/>
  <c r="F35" i="108"/>
  <c r="C35" i="108"/>
  <c r="O29" i="108"/>
  <c r="M29" i="108"/>
  <c r="C29" i="108"/>
  <c r="L28" i="108"/>
  <c r="J28" i="108"/>
  <c r="G28" i="108"/>
  <c r="D28" i="108"/>
  <c r="P27" i="108"/>
  <c r="L27" i="108"/>
  <c r="J27" i="108"/>
  <c r="G27" i="108"/>
  <c r="D27" i="108"/>
  <c r="P26" i="108"/>
  <c r="L26" i="108"/>
  <c r="J26" i="108"/>
  <c r="G26" i="108"/>
  <c r="D26" i="108"/>
  <c r="O20" i="108"/>
  <c r="J20" i="108"/>
  <c r="I20" i="108"/>
  <c r="G20" i="108"/>
  <c r="F20" i="108"/>
  <c r="D20" i="108"/>
  <c r="C20" i="108"/>
  <c r="O19" i="108"/>
  <c r="J19" i="108"/>
  <c r="I19" i="108"/>
  <c r="G19" i="108"/>
  <c r="D19" i="108"/>
  <c r="C19" i="108"/>
  <c r="O18" i="108"/>
  <c r="J18" i="108"/>
  <c r="G18" i="108"/>
  <c r="F18" i="108"/>
  <c r="D18" i="108"/>
  <c r="C18" i="108"/>
  <c r="O17" i="108"/>
  <c r="J17" i="108"/>
  <c r="I17" i="108"/>
  <c r="G17" i="108"/>
  <c r="D17" i="108"/>
  <c r="C17" i="108"/>
  <c r="X15" i="108"/>
  <c r="V15" i="108"/>
  <c r="U15" i="108"/>
  <c r="T15" i="108"/>
  <c r="X14" i="108"/>
  <c r="V14" i="108"/>
  <c r="U14" i="108"/>
  <c r="T14" i="108"/>
  <c r="X13" i="108"/>
  <c r="V13" i="108"/>
  <c r="U13" i="108"/>
  <c r="T13" i="108"/>
  <c r="O11" i="108"/>
  <c r="M11" i="108"/>
  <c r="I11" i="108"/>
  <c r="F11" i="108"/>
  <c r="C11" i="108"/>
  <c r="O10" i="108"/>
  <c r="M10" i="108"/>
  <c r="I10" i="108"/>
  <c r="F10" i="108"/>
  <c r="C10" i="108"/>
  <c r="O9" i="108"/>
  <c r="M9" i="108"/>
  <c r="I9" i="108"/>
  <c r="F9" i="108"/>
  <c r="C9" i="108"/>
  <c r="O8" i="108"/>
  <c r="M8" i="108"/>
  <c r="I8" i="108"/>
  <c r="F8" i="108"/>
  <c r="C8" i="108"/>
  <c r="O164" i="107"/>
  <c r="M164" i="107"/>
  <c r="I164" i="107"/>
  <c r="F164" i="107"/>
  <c r="C164" i="107"/>
  <c r="O163" i="107"/>
  <c r="M163" i="107"/>
  <c r="I163" i="107"/>
  <c r="F163" i="107"/>
  <c r="C163" i="107"/>
  <c r="O162" i="107"/>
  <c r="M162" i="107"/>
  <c r="I162" i="107"/>
  <c r="F162" i="107"/>
  <c r="C162" i="107"/>
  <c r="O161" i="107"/>
  <c r="L161" i="107"/>
  <c r="J161" i="107"/>
  <c r="G161" i="107"/>
  <c r="D161" i="107"/>
  <c r="O155" i="107"/>
  <c r="M155" i="107"/>
  <c r="I155" i="107"/>
  <c r="C155" i="107"/>
  <c r="O154" i="107"/>
  <c r="I154" i="107"/>
  <c r="G154" i="107"/>
  <c r="M154" i="107"/>
  <c r="C154" i="107"/>
  <c r="O153" i="107"/>
  <c r="I153" i="107"/>
  <c r="G153" i="107"/>
  <c r="C153" i="107"/>
  <c r="O152" i="107"/>
  <c r="M152" i="107"/>
  <c r="I152" i="107"/>
  <c r="F152" i="107"/>
  <c r="C152" i="107"/>
  <c r="O146" i="107"/>
  <c r="M146" i="107"/>
  <c r="I146" i="107"/>
  <c r="F146" i="107"/>
  <c r="C146" i="107"/>
  <c r="M145" i="107"/>
  <c r="I145" i="107"/>
  <c r="F145" i="107"/>
  <c r="C145" i="107"/>
  <c r="M144" i="107"/>
  <c r="I144" i="107"/>
  <c r="F144" i="107"/>
  <c r="C144" i="107"/>
  <c r="O143" i="107"/>
  <c r="M143" i="107"/>
  <c r="I143" i="107"/>
  <c r="F143" i="107"/>
  <c r="C143" i="107"/>
  <c r="O137" i="107"/>
  <c r="J137" i="107"/>
  <c r="I137" i="107"/>
  <c r="G137" i="107"/>
  <c r="F137" i="107"/>
  <c r="D137" i="107"/>
  <c r="C137" i="107"/>
  <c r="P136" i="107"/>
  <c r="O136" i="107"/>
  <c r="J136" i="107"/>
  <c r="I136" i="107"/>
  <c r="G136" i="107"/>
  <c r="D136" i="107"/>
  <c r="P135" i="107"/>
  <c r="J135" i="107"/>
  <c r="I135" i="107"/>
  <c r="G135" i="107"/>
  <c r="D135" i="107"/>
  <c r="C135" i="107"/>
  <c r="P134" i="107"/>
  <c r="J134" i="107"/>
  <c r="I134" i="107"/>
  <c r="G134" i="107"/>
  <c r="F134" i="107"/>
  <c r="D134" i="107"/>
  <c r="C134" i="107"/>
  <c r="P101" i="107"/>
  <c r="O101" i="107"/>
  <c r="J101" i="107"/>
  <c r="I101" i="107"/>
  <c r="G101" i="107"/>
  <c r="D101" i="107"/>
  <c r="P100" i="107"/>
  <c r="O100" i="107"/>
  <c r="J100" i="107"/>
  <c r="G100" i="107"/>
  <c r="F100" i="107"/>
  <c r="D100" i="107"/>
  <c r="P99" i="107"/>
  <c r="J99" i="107"/>
  <c r="I99" i="107"/>
  <c r="G99" i="107"/>
  <c r="F99" i="107"/>
  <c r="D99" i="107"/>
  <c r="C99" i="107"/>
  <c r="P98" i="107"/>
  <c r="J98" i="107"/>
  <c r="I98" i="107"/>
  <c r="G98" i="107"/>
  <c r="D98" i="107"/>
  <c r="O92" i="107"/>
  <c r="M92" i="107"/>
  <c r="J92" i="107"/>
  <c r="I92" i="107"/>
  <c r="G92" i="107"/>
  <c r="D92" i="107"/>
  <c r="C92" i="107"/>
  <c r="O91" i="107"/>
  <c r="M91" i="107"/>
  <c r="L91" i="107"/>
  <c r="I91" i="107"/>
  <c r="F91" i="107"/>
  <c r="C91" i="107"/>
  <c r="O90" i="107"/>
  <c r="M90" i="107"/>
  <c r="L90" i="107"/>
  <c r="I90" i="107"/>
  <c r="F90" i="107"/>
  <c r="C90" i="107"/>
  <c r="O89" i="107"/>
  <c r="M89" i="107"/>
  <c r="I89" i="107"/>
  <c r="F89" i="107"/>
  <c r="C89" i="107"/>
  <c r="O83" i="107"/>
  <c r="J83" i="107"/>
  <c r="I83" i="107"/>
  <c r="G83" i="107"/>
  <c r="F83" i="107"/>
  <c r="D83" i="107"/>
  <c r="C83" i="107"/>
  <c r="P82" i="107"/>
  <c r="O82" i="107"/>
  <c r="J82" i="107"/>
  <c r="G82" i="107"/>
  <c r="D82" i="107"/>
  <c r="P81" i="107"/>
  <c r="O81" i="107"/>
  <c r="J81" i="107"/>
  <c r="I81" i="107"/>
  <c r="G81" i="107"/>
  <c r="D81" i="107"/>
  <c r="P80" i="107"/>
  <c r="J80" i="107"/>
  <c r="I80" i="107"/>
  <c r="G80" i="107"/>
  <c r="F80" i="107"/>
  <c r="D80" i="107"/>
  <c r="P65" i="107"/>
  <c r="O65" i="107"/>
  <c r="J65" i="107"/>
  <c r="I65" i="107"/>
  <c r="G65" i="107"/>
  <c r="D65" i="107"/>
  <c r="P64" i="107"/>
  <c r="O64" i="107"/>
  <c r="J64" i="107"/>
  <c r="F64" i="107"/>
  <c r="D64" i="107"/>
  <c r="P63" i="107"/>
  <c r="J63" i="107"/>
  <c r="I63" i="107"/>
  <c r="F63" i="107"/>
  <c r="D63" i="107"/>
  <c r="P62" i="107"/>
  <c r="O62" i="107"/>
  <c r="J62" i="107"/>
  <c r="I62" i="107"/>
  <c r="G62" i="107"/>
  <c r="D62" i="107"/>
  <c r="C62" i="107"/>
  <c r="P56" i="107"/>
  <c r="O56" i="107"/>
  <c r="J56" i="107"/>
  <c r="G56" i="107"/>
  <c r="F56" i="107"/>
  <c r="D56" i="107"/>
  <c r="C56" i="107"/>
  <c r="P55" i="107"/>
  <c r="O55" i="107"/>
  <c r="J55" i="107"/>
  <c r="G55" i="107"/>
  <c r="D55" i="107"/>
  <c r="C55" i="107"/>
  <c r="P54" i="107"/>
  <c r="J54" i="107"/>
  <c r="I54" i="107"/>
  <c r="G54" i="107"/>
  <c r="D54" i="107"/>
  <c r="C54" i="107"/>
  <c r="P53" i="107"/>
  <c r="O53" i="107"/>
  <c r="J53" i="107"/>
  <c r="G53" i="107"/>
  <c r="F53" i="107"/>
  <c r="D53" i="107"/>
  <c r="C53" i="107"/>
  <c r="O38" i="107"/>
  <c r="M38" i="107"/>
  <c r="I38" i="107"/>
  <c r="F38" i="107"/>
  <c r="C38" i="107"/>
  <c r="P37" i="107"/>
  <c r="L37" i="107"/>
  <c r="J37" i="107"/>
  <c r="G37" i="107"/>
  <c r="D37" i="107"/>
  <c r="P36" i="107"/>
  <c r="L36" i="107"/>
  <c r="J36" i="107"/>
  <c r="G36" i="107"/>
  <c r="D36" i="107"/>
  <c r="P35" i="107"/>
  <c r="L35" i="107"/>
  <c r="J35" i="107"/>
  <c r="G35" i="107"/>
  <c r="D35" i="107"/>
  <c r="M29" i="107"/>
  <c r="I29" i="107"/>
  <c r="F29" i="107"/>
  <c r="C29" i="107"/>
  <c r="O28" i="107"/>
  <c r="M28" i="107"/>
  <c r="I28" i="107"/>
  <c r="F28" i="107"/>
  <c r="C28" i="107"/>
  <c r="O27" i="107"/>
  <c r="M27" i="107"/>
  <c r="I27" i="107"/>
  <c r="F27" i="107"/>
  <c r="C27" i="107"/>
  <c r="O26" i="107"/>
  <c r="M26" i="107"/>
  <c r="I26" i="107"/>
  <c r="F26" i="107"/>
  <c r="C26" i="107"/>
  <c r="O20" i="107"/>
  <c r="J20" i="107"/>
  <c r="I20" i="107"/>
  <c r="G20" i="107"/>
  <c r="D20" i="107"/>
  <c r="O19" i="107"/>
  <c r="J19" i="107"/>
  <c r="G19" i="107"/>
  <c r="D19" i="107"/>
  <c r="O18" i="107"/>
  <c r="L18" i="107"/>
  <c r="J18" i="107"/>
  <c r="G18" i="107"/>
  <c r="D18" i="107"/>
  <c r="O17" i="107"/>
  <c r="L17" i="107"/>
  <c r="J17" i="107"/>
  <c r="G17" i="107"/>
  <c r="D17" i="107"/>
  <c r="X16" i="107"/>
  <c r="V16" i="107"/>
  <c r="U16" i="107"/>
  <c r="T16" i="107"/>
  <c r="X15" i="107"/>
  <c r="V15" i="107"/>
  <c r="U15" i="107"/>
  <c r="T15" i="107"/>
  <c r="X14" i="107"/>
  <c r="V14" i="107"/>
  <c r="U14" i="107"/>
  <c r="T14" i="107"/>
  <c r="M11" i="107"/>
  <c r="I11" i="107"/>
  <c r="L11" i="107"/>
  <c r="O10" i="107"/>
  <c r="M10" i="107"/>
  <c r="O9" i="107"/>
  <c r="M9" i="107"/>
  <c r="O8" i="107"/>
  <c r="M8" i="107"/>
  <c r="K8" i="107"/>
  <c r="H8" i="107"/>
  <c r="E8" i="107"/>
  <c r="AV159" i="1"/>
  <c r="AT159" i="1"/>
  <c r="AQ159" i="1"/>
  <c r="AL159" i="1"/>
  <c r="AG159" i="1"/>
  <c r="M159" i="1"/>
  <c r="L159" i="1"/>
  <c r="H159" i="1"/>
  <c r="G159" i="1"/>
  <c r="AV158" i="1"/>
  <c r="AT158" i="1"/>
  <c r="AQ158" i="1"/>
  <c r="AL158" i="1"/>
  <c r="AG158" i="1"/>
  <c r="M158" i="1"/>
  <c r="L158" i="1"/>
  <c r="H158" i="1"/>
  <c r="G158" i="1"/>
  <c r="AV157" i="1"/>
  <c r="AT157" i="1"/>
  <c r="AQ157" i="1"/>
  <c r="AL157" i="1"/>
  <c r="AG157" i="1"/>
  <c r="M157" i="1"/>
  <c r="L157" i="1"/>
  <c r="H157" i="1"/>
  <c r="G157" i="1"/>
  <c r="AV156" i="1"/>
  <c r="AT156" i="1"/>
  <c r="AQ156" i="1"/>
  <c r="AL156" i="1"/>
  <c r="AG156" i="1"/>
  <c r="M156" i="1"/>
  <c r="L156" i="1"/>
  <c r="H156" i="1"/>
  <c r="G156" i="1"/>
  <c r="S156" i="1"/>
  <c r="AX155" i="1"/>
  <c r="AQ155" i="1"/>
  <c r="AL155" i="1"/>
  <c r="AG155" i="1"/>
  <c r="M155" i="1"/>
  <c r="L155" i="1"/>
  <c r="H155" i="1"/>
  <c r="Q155" i="1"/>
  <c r="G155" i="1"/>
  <c r="R155" i="1"/>
  <c r="AX154" i="1"/>
  <c r="AQ154" i="1"/>
  <c r="AL154" i="1"/>
  <c r="AG154" i="1"/>
  <c r="M154" i="1"/>
  <c r="L154" i="1"/>
  <c r="H154" i="1"/>
  <c r="Q154" i="1"/>
  <c r="G154" i="1"/>
  <c r="R154" i="1"/>
  <c r="AX153" i="1"/>
  <c r="AQ153" i="1"/>
  <c r="AL153" i="1"/>
  <c r="AG153" i="1"/>
  <c r="M153" i="1"/>
  <c r="L153" i="1"/>
  <c r="H153" i="1"/>
  <c r="Q153" i="1"/>
  <c r="G153" i="1"/>
  <c r="S153" i="1"/>
  <c r="BE151" i="1"/>
  <c r="AT151" i="1"/>
  <c r="AQ151" i="1"/>
  <c r="AL151" i="1"/>
  <c r="AG151" i="1"/>
  <c r="M151" i="1"/>
  <c r="L151" i="1"/>
  <c r="H151" i="1"/>
  <c r="Q151" i="1"/>
  <c r="G151" i="1"/>
  <c r="BE150" i="1"/>
  <c r="AT150" i="1"/>
  <c r="AQ150" i="1"/>
  <c r="AL150" i="1"/>
  <c r="AG150" i="1"/>
  <c r="M150" i="1"/>
  <c r="L150" i="1"/>
  <c r="H150" i="1"/>
  <c r="G150" i="1"/>
  <c r="S150" i="1"/>
  <c r="BE149" i="1"/>
  <c r="AX149" i="1"/>
  <c r="AQ149" i="1"/>
  <c r="AL149" i="1"/>
  <c r="AG149" i="1"/>
  <c r="M149" i="1"/>
  <c r="L149" i="1"/>
  <c r="H149" i="1"/>
  <c r="G149" i="1"/>
  <c r="S149" i="1"/>
  <c r="BM148" i="1"/>
  <c r="BN148" i="1"/>
  <c r="BE148" i="1"/>
  <c r="AV148" i="1"/>
  <c r="AX148" i="1"/>
  <c r="AQ148" i="1"/>
  <c r="AL148" i="1"/>
  <c r="AG148" i="1"/>
  <c r="M148" i="1"/>
  <c r="L148" i="1"/>
  <c r="H148" i="1"/>
  <c r="Q148" i="1"/>
  <c r="G148" i="1"/>
  <c r="BE147" i="1"/>
  <c r="AV147" i="1"/>
  <c r="AX147" i="1"/>
  <c r="AQ147" i="1"/>
  <c r="AL147" i="1"/>
  <c r="AG147" i="1"/>
  <c r="M147" i="1"/>
  <c r="L147" i="1"/>
  <c r="H147" i="1"/>
  <c r="Q147" i="1"/>
  <c r="G147" i="1"/>
  <c r="R147" i="1"/>
  <c r="BE146" i="1"/>
  <c r="AQ146" i="1"/>
  <c r="AL146" i="1"/>
  <c r="AG146" i="1"/>
  <c r="M146" i="1"/>
  <c r="L146" i="1"/>
  <c r="H146" i="1"/>
  <c r="Q146" i="1"/>
  <c r="G146" i="1"/>
  <c r="S146" i="1"/>
  <c r="BE145" i="1"/>
  <c r="AW145" i="1"/>
  <c r="AV145" i="1"/>
  <c r="AQ145" i="1"/>
  <c r="AL145" i="1"/>
  <c r="AG145" i="1"/>
  <c r="M145" i="1"/>
  <c r="L145" i="1"/>
  <c r="H145" i="1"/>
  <c r="Q145" i="1"/>
  <c r="G145" i="1"/>
  <c r="S145" i="1"/>
  <c r="AW144" i="1"/>
  <c r="AV144" i="1"/>
  <c r="AQ144" i="1"/>
  <c r="AL144" i="1"/>
  <c r="AG144" i="1"/>
  <c r="M144" i="1"/>
  <c r="L144" i="1"/>
  <c r="H144" i="1"/>
  <c r="Q144" i="1"/>
  <c r="G144" i="1"/>
  <c r="S144" i="1"/>
  <c r="AW143" i="1"/>
  <c r="AV143" i="1"/>
  <c r="AT143" i="1"/>
  <c r="AQ143" i="1"/>
  <c r="AL143" i="1"/>
  <c r="AG143" i="1"/>
  <c r="M143" i="1"/>
  <c r="L143" i="1"/>
  <c r="H143" i="1"/>
  <c r="G143" i="1"/>
  <c r="R143" i="1"/>
  <c r="AW141" i="1"/>
  <c r="AV141" i="1"/>
  <c r="AQ141" i="1"/>
  <c r="AL141" i="1"/>
  <c r="AG141" i="1"/>
  <c r="M141" i="1"/>
  <c r="L141" i="1"/>
  <c r="H141" i="1"/>
  <c r="G141" i="1"/>
  <c r="AW140" i="1"/>
  <c r="AV140" i="1"/>
  <c r="AQ140" i="1"/>
  <c r="AL140" i="1"/>
  <c r="AG140" i="1"/>
  <c r="M140" i="1"/>
  <c r="L140" i="1"/>
  <c r="H140" i="1"/>
  <c r="G140" i="1"/>
  <c r="BI139" i="1"/>
  <c r="AW139" i="1"/>
  <c r="AV139" i="1"/>
  <c r="AQ139" i="1"/>
  <c r="AL139" i="1"/>
  <c r="AG139" i="1"/>
  <c r="M139" i="1"/>
  <c r="L139" i="1"/>
  <c r="H139" i="1"/>
  <c r="G139" i="1"/>
  <c r="R139" i="1"/>
  <c r="BI138" i="1"/>
  <c r="AW138" i="1"/>
  <c r="AV138" i="1"/>
  <c r="AU138" i="1"/>
  <c r="AQ138" i="1"/>
  <c r="AL138" i="1"/>
  <c r="AG138" i="1"/>
  <c r="M138" i="1"/>
  <c r="L138" i="1"/>
  <c r="H138" i="1"/>
  <c r="G138" i="1"/>
  <c r="S138" i="1"/>
  <c r="AW137" i="1"/>
  <c r="AV137" i="1"/>
  <c r="AU137" i="1"/>
  <c r="AQ137" i="1"/>
  <c r="AL137" i="1"/>
  <c r="AG137" i="1"/>
  <c r="I137" i="1"/>
  <c r="L137" i="1"/>
  <c r="H137" i="1"/>
  <c r="G137" i="1"/>
  <c r="R137" i="1"/>
  <c r="AW136" i="1"/>
  <c r="AV136" i="1"/>
  <c r="AU136" i="1"/>
  <c r="AQ136" i="1"/>
  <c r="AL136" i="1"/>
  <c r="AG136" i="1"/>
  <c r="J136" i="1"/>
  <c r="I136" i="1"/>
  <c r="H136" i="1"/>
  <c r="Q136" i="1"/>
  <c r="G136" i="1"/>
  <c r="BI135" i="1"/>
  <c r="AW135" i="1"/>
  <c r="AV135" i="1"/>
  <c r="AQ135" i="1"/>
  <c r="AL135" i="1"/>
  <c r="AG135" i="1"/>
  <c r="J135" i="1"/>
  <c r="I135" i="1"/>
  <c r="H135" i="1"/>
  <c r="G135" i="1"/>
  <c r="S135" i="1"/>
  <c r="AW134" i="1"/>
  <c r="AV134" i="1"/>
  <c r="AU134" i="1"/>
  <c r="AQ134" i="1"/>
  <c r="AH134" i="1"/>
  <c r="AL134" i="1"/>
  <c r="AG134" i="1"/>
  <c r="J134" i="1"/>
  <c r="I134" i="1"/>
  <c r="H134" i="1"/>
  <c r="Q134" i="1"/>
  <c r="G134" i="1"/>
  <c r="S134" i="1"/>
  <c r="AW133" i="1"/>
  <c r="AV133" i="1"/>
  <c r="AQ133" i="1"/>
  <c r="AL133" i="1"/>
  <c r="AG133" i="1"/>
  <c r="J133" i="1"/>
  <c r="I133" i="1"/>
  <c r="H133" i="1"/>
  <c r="Q133" i="1"/>
  <c r="G133" i="1"/>
  <c r="S133" i="1"/>
  <c r="BO131" i="1"/>
  <c r="AX131" i="1"/>
  <c r="AQ131" i="1"/>
  <c r="AL131" i="1"/>
  <c r="AG131" i="1"/>
  <c r="J131" i="1"/>
  <c r="I131" i="1"/>
  <c r="H131" i="1"/>
  <c r="Q131" i="1"/>
  <c r="G131" i="1"/>
  <c r="R131" i="1"/>
  <c r="BO130" i="1"/>
  <c r="BE130" i="1"/>
  <c r="AX130" i="1"/>
  <c r="AQ130" i="1"/>
  <c r="AL130" i="1"/>
  <c r="AG130" i="1"/>
  <c r="I130" i="1"/>
  <c r="L130" i="1"/>
  <c r="H130" i="1"/>
  <c r="G130" i="1"/>
  <c r="BO129" i="1"/>
  <c r="BE129" i="1"/>
  <c r="AX129" i="1"/>
  <c r="AQ129" i="1"/>
  <c r="AL129" i="1"/>
  <c r="AG129" i="1"/>
  <c r="J129" i="1"/>
  <c r="I129" i="1"/>
  <c r="H129" i="1"/>
  <c r="Q129" i="1"/>
  <c r="G129" i="1"/>
  <c r="R129" i="1"/>
  <c r="BO128" i="1"/>
  <c r="AX128" i="1"/>
  <c r="AQ128" i="1"/>
  <c r="AL128" i="1"/>
  <c r="AG128" i="1"/>
  <c r="J128" i="1"/>
  <c r="I128" i="1"/>
  <c r="H128" i="1"/>
  <c r="G128" i="1"/>
  <c r="R128" i="1"/>
  <c r="BE127" i="1"/>
  <c r="AX127" i="1"/>
  <c r="AQ127" i="1"/>
  <c r="AL127" i="1"/>
  <c r="AG127" i="1"/>
  <c r="J127" i="1"/>
  <c r="I127" i="1"/>
  <c r="H127" i="1"/>
  <c r="Q127" i="1"/>
  <c r="G127" i="1"/>
  <c r="R127" i="1"/>
  <c r="BE126" i="1"/>
  <c r="AX126" i="1"/>
  <c r="AQ126" i="1"/>
  <c r="AL126" i="1"/>
  <c r="AG126" i="1"/>
  <c r="I126" i="1"/>
  <c r="H126" i="1"/>
  <c r="Q126" i="1"/>
  <c r="G126" i="1"/>
  <c r="BE125" i="1"/>
  <c r="AX125" i="1"/>
  <c r="AQ125" i="1"/>
  <c r="AL125" i="1"/>
  <c r="AG125" i="1"/>
  <c r="I125" i="1"/>
  <c r="M125" i="1"/>
  <c r="H125" i="1"/>
  <c r="G125" i="1"/>
  <c r="S125" i="1"/>
  <c r="AX124" i="1"/>
  <c r="AQ124" i="1"/>
  <c r="AL124" i="1"/>
  <c r="AG124" i="1"/>
  <c r="J124" i="1"/>
  <c r="I124" i="1"/>
  <c r="H124" i="1"/>
  <c r="G124" i="1"/>
  <c r="R124" i="1"/>
  <c r="AX123" i="1"/>
  <c r="AQ123" i="1"/>
  <c r="AL123" i="1"/>
  <c r="AG123" i="1"/>
  <c r="I123" i="1"/>
  <c r="H123" i="1"/>
  <c r="Q123" i="1"/>
  <c r="G123" i="1"/>
  <c r="R123" i="1"/>
  <c r="BE101" i="1"/>
  <c r="AW101" i="1"/>
  <c r="AX101" i="1"/>
  <c r="AQ101" i="1"/>
  <c r="AL101" i="1"/>
  <c r="AG101" i="1"/>
  <c r="J101" i="1"/>
  <c r="I101" i="1"/>
  <c r="H101" i="1"/>
  <c r="G101" i="1"/>
  <c r="BE100" i="1"/>
  <c r="AW100" i="1"/>
  <c r="AX100" i="1"/>
  <c r="AQ100" i="1"/>
  <c r="AL100" i="1"/>
  <c r="AG100" i="1"/>
  <c r="J100" i="1"/>
  <c r="I100" i="1"/>
  <c r="H100" i="1"/>
  <c r="G100" i="1"/>
  <c r="S100" i="1"/>
  <c r="AW99" i="1"/>
  <c r="AX99" i="1"/>
  <c r="AQ99" i="1"/>
  <c r="AL99" i="1"/>
  <c r="AG99" i="1"/>
  <c r="J99" i="1"/>
  <c r="I99" i="1"/>
  <c r="H99" i="1"/>
  <c r="G99" i="1"/>
  <c r="BE98" i="1"/>
  <c r="AW98" i="1"/>
  <c r="AX98" i="1"/>
  <c r="AQ98" i="1"/>
  <c r="AL98" i="1"/>
  <c r="AG98" i="1"/>
  <c r="J98" i="1"/>
  <c r="I98" i="1"/>
  <c r="H98" i="1"/>
  <c r="Q98" i="1"/>
  <c r="G98" i="1"/>
  <c r="R98" i="1"/>
  <c r="BE97" i="1"/>
  <c r="AW97" i="1"/>
  <c r="AX97" i="1"/>
  <c r="AQ97" i="1"/>
  <c r="AL97" i="1"/>
  <c r="AG97" i="1"/>
  <c r="J97" i="1"/>
  <c r="I97" i="1"/>
  <c r="H97" i="1"/>
  <c r="Q97" i="1"/>
  <c r="G97" i="1"/>
  <c r="S97" i="1"/>
  <c r="AW96" i="1"/>
  <c r="AX96" i="1"/>
  <c r="AQ96" i="1"/>
  <c r="AL96" i="1"/>
  <c r="AG96" i="1"/>
  <c r="J96" i="1"/>
  <c r="I96" i="1"/>
  <c r="H96" i="1"/>
  <c r="G96" i="1"/>
  <c r="AW95" i="1"/>
  <c r="AU95" i="1"/>
  <c r="AQ95" i="1"/>
  <c r="AL95" i="1"/>
  <c r="AG95" i="1"/>
  <c r="J95" i="1"/>
  <c r="I95" i="1"/>
  <c r="H95" i="1"/>
  <c r="Q95" i="1"/>
  <c r="G95" i="1"/>
  <c r="AW94" i="1"/>
  <c r="AX94" i="1"/>
  <c r="AQ94" i="1"/>
  <c r="AL94" i="1"/>
  <c r="AG94" i="1"/>
  <c r="J94" i="1"/>
  <c r="I94" i="1"/>
  <c r="H94" i="1"/>
  <c r="Q94" i="1"/>
  <c r="G94" i="1"/>
  <c r="AW93" i="1"/>
  <c r="AX93" i="1"/>
  <c r="AQ93" i="1"/>
  <c r="AL93" i="1"/>
  <c r="AG93" i="1"/>
  <c r="J93" i="1"/>
  <c r="I93" i="1"/>
  <c r="H93" i="1"/>
  <c r="G93" i="1"/>
  <c r="S93" i="1"/>
  <c r="AX91" i="1"/>
  <c r="AQ91" i="1"/>
  <c r="AL91" i="1"/>
  <c r="AG91" i="1"/>
  <c r="M91" i="1"/>
  <c r="L91" i="1"/>
  <c r="H91" i="1"/>
  <c r="Q91" i="1"/>
  <c r="G91" i="1"/>
  <c r="S91" i="1"/>
  <c r="BE90" i="1"/>
  <c r="AX90" i="1"/>
  <c r="AY92" i="1"/>
  <c r="AQ90" i="1"/>
  <c r="AL90" i="1"/>
  <c r="AG90" i="1"/>
  <c r="M90" i="1"/>
  <c r="L90" i="1"/>
  <c r="H90" i="1"/>
  <c r="G90" i="1"/>
  <c r="BE89" i="1"/>
  <c r="AX89" i="1"/>
  <c r="AQ89" i="1"/>
  <c r="AL89" i="1"/>
  <c r="AG89" i="1"/>
  <c r="M89" i="1"/>
  <c r="L89" i="1"/>
  <c r="H89" i="1"/>
  <c r="G89" i="1"/>
  <c r="S89" i="1"/>
  <c r="BE88" i="1"/>
  <c r="AX88" i="1"/>
  <c r="AQ88" i="1"/>
  <c r="AL88" i="1"/>
  <c r="AG88" i="1"/>
  <c r="M88" i="1"/>
  <c r="L88" i="1"/>
  <c r="H88" i="1"/>
  <c r="G88" i="1"/>
  <c r="BE87" i="1"/>
  <c r="AX87" i="1"/>
  <c r="AQ87" i="1"/>
  <c r="AL87" i="1"/>
  <c r="AG87" i="1"/>
  <c r="M87" i="1"/>
  <c r="L87" i="1"/>
  <c r="H87" i="1"/>
  <c r="G87" i="1"/>
  <c r="R87" i="1"/>
  <c r="BE86" i="1"/>
  <c r="AX86" i="1"/>
  <c r="AQ86" i="1"/>
  <c r="AL86" i="1"/>
  <c r="AG86" i="1"/>
  <c r="M86" i="1"/>
  <c r="L86" i="1"/>
  <c r="H86" i="1"/>
  <c r="Q86" i="1"/>
  <c r="G86" i="1"/>
  <c r="S86" i="1"/>
  <c r="AX85" i="1"/>
  <c r="AQ85" i="1"/>
  <c r="AL85" i="1"/>
  <c r="AG85" i="1"/>
  <c r="M85" i="1"/>
  <c r="L85" i="1"/>
  <c r="H85" i="1"/>
  <c r="G85" i="1"/>
  <c r="AX84" i="1"/>
  <c r="AQ84" i="1"/>
  <c r="AL84" i="1"/>
  <c r="AG84" i="1"/>
  <c r="M84" i="1"/>
  <c r="L84" i="1"/>
  <c r="H84" i="1"/>
  <c r="Q84" i="1"/>
  <c r="G84" i="1"/>
  <c r="S84" i="1"/>
  <c r="AX83" i="1"/>
  <c r="AQ83" i="1"/>
  <c r="AL83" i="1"/>
  <c r="AG83" i="1"/>
  <c r="M83" i="1"/>
  <c r="L83" i="1"/>
  <c r="H83" i="1"/>
  <c r="Q83" i="1"/>
  <c r="G83" i="1"/>
  <c r="R83" i="1"/>
  <c r="AX81" i="1"/>
  <c r="AM81" i="1"/>
  <c r="AQ81" i="1"/>
  <c r="AH81" i="1"/>
  <c r="AL81" i="1"/>
  <c r="AC81" i="1"/>
  <c r="AG81" i="1"/>
  <c r="M81" i="1"/>
  <c r="L81" i="1"/>
  <c r="H81" i="1"/>
  <c r="G81" i="1"/>
  <c r="R81" i="1"/>
  <c r="AX80" i="1"/>
  <c r="AY82" i="1"/>
  <c r="AM80" i="1"/>
  <c r="AQ80" i="1"/>
  <c r="AH80" i="1"/>
  <c r="AL80" i="1"/>
  <c r="AC80" i="1"/>
  <c r="AG80" i="1"/>
  <c r="K80" i="1"/>
  <c r="H80" i="1"/>
  <c r="Q80" i="1"/>
  <c r="G80" i="1"/>
  <c r="AW79" i="1"/>
  <c r="AX79" i="1"/>
  <c r="AM79" i="1"/>
  <c r="AQ79" i="1"/>
  <c r="AH79" i="1"/>
  <c r="AL79" i="1"/>
  <c r="AC79" i="1"/>
  <c r="AG79" i="1"/>
  <c r="J79" i="1"/>
  <c r="M79" i="1"/>
  <c r="H79" i="1"/>
  <c r="Q79" i="1"/>
  <c r="G79" i="1"/>
  <c r="R79" i="1"/>
  <c r="AW78" i="1"/>
  <c r="AX78" i="1"/>
  <c r="AM78" i="1"/>
  <c r="AQ78" i="1"/>
  <c r="AH78" i="1"/>
  <c r="AL78" i="1"/>
  <c r="AC78" i="1"/>
  <c r="AG78" i="1"/>
  <c r="J78" i="1"/>
  <c r="H78" i="1"/>
  <c r="G78" i="1"/>
  <c r="R78" i="1"/>
  <c r="AW77" i="1"/>
  <c r="AX77" i="1"/>
  <c r="AM77" i="1"/>
  <c r="AQ77" i="1"/>
  <c r="AH77" i="1"/>
  <c r="AL77" i="1"/>
  <c r="AC77" i="1"/>
  <c r="AG77" i="1"/>
  <c r="J77" i="1"/>
  <c r="M77" i="1"/>
  <c r="H77" i="1"/>
  <c r="G77" i="1"/>
  <c r="AX76" i="1"/>
  <c r="AM76" i="1"/>
  <c r="AQ76" i="1"/>
  <c r="AH76" i="1"/>
  <c r="AL76" i="1"/>
  <c r="AC76" i="1"/>
  <c r="AG76" i="1"/>
  <c r="J76" i="1"/>
  <c r="H76" i="1"/>
  <c r="Q76" i="1"/>
  <c r="G76" i="1"/>
  <c r="AX75" i="1"/>
  <c r="AM75" i="1"/>
  <c r="AQ75" i="1"/>
  <c r="AH75" i="1"/>
  <c r="AL75" i="1"/>
  <c r="AC75" i="1"/>
  <c r="AG75" i="1"/>
  <c r="M75" i="1"/>
  <c r="L75" i="1"/>
  <c r="H75" i="1"/>
  <c r="G75" i="1"/>
  <c r="AX74" i="1"/>
  <c r="AM74" i="1"/>
  <c r="AQ74" i="1"/>
  <c r="AH74" i="1"/>
  <c r="AL74" i="1"/>
  <c r="AC74" i="1"/>
  <c r="AG74" i="1"/>
  <c r="M74" i="1"/>
  <c r="L74" i="1"/>
  <c r="H74" i="1"/>
  <c r="Q74" i="1"/>
  <c r="G74" i="1"/>
  <c r="AX73" i="1"/>
  <c r="AM73" i="1"/>
  <c r="AQ73" i="1"/>
  <c r="AH73" i="1"/>
  <c r="AL73" i="1"/>
  <c r="AC73" i="1"/>
  <c r="AG73" i="1"/>
  <c r="M73" i="1"/>
  <c r="L73" i="1"/>
  <c r="H73" i="1"/>
  <c r="G73" i="1"/>
  <c r="R73" i="1"/>
  <c r="BE61" i="1"/>
  <c r="AX61" i="1"/>
  <c r="AQ61" i="1"/>
  <c r="AL61" i="1"/>
  <c r="AG61" i="1"/>
  <c r="K61" i="1"/>
  <c r="J61" i="1"/>
  <c r="I61" i="1"/>
  <c r="H61" i="1"/>
  <c r="Q61" i="1"/>
  <c r="G61" i="1"/>
  <c r="BE60" i="1"/>
  <c r="AX60" i="1"/>
  <c r="AY62" i="1"/>
  <c r="AQ60" i="1"/>
  <c r="AL60" i="1"/>
  <c r="AG60" i="1"/>
  <c r="K60" i="1"/>
  <c r="J60" i="1"/>
  <c r="I60" i="1"/>
  <c r="H60" i="1"/>
  <c r="G60" i="1"/>
  <c r="R60" i="1"/>
  <c r="BE59" i="1"/>
  <c r="AX59" i="1"/>
  <c r="AQ59" i="1"/>
  <c r="AL59" i="1"/>
  <c r="AG59" i="1"/>
  <c r="K59" i="1"/>
  <c r="J59" i="1"/>
  <c r="I59" i="1"/>
  <c r="H59" i="1"/>
  <c r="Q59" i="1"/>
  <c r="G59" i="1"/>
  <c r="S59" i="1"/>
  <c r="AX58" i="1"/>
  <c r="AQ58" i="1"/>
  <c r="AL58" i="1"/>
  <c r="AG58" i="1"/>
  <c r="K58" i="1"/>
  <c r="J58" i="1"/>
  <c r="I58" i="1"/>
  <c r="H58" i="1"/>
  <c r="G58" i="1"/>
  <c r="S58" i="1"/>
  <c r="CP57" i="1"/>
  <c r="AX57" i="1"/>
  <c r="AQ57" i="1"/>
  <c r="AL57" i="1"/>
  <c r="AG57" i="1"/>
  <c r="K57" i="1"/>
  <c r="J57" i="1"/>
  <c r="I57" i="1"/>
  <c r="H57" i="1"/>
  <c r="G57" i="1"/>
  <c r="AX56" i="1"/>
  <c r="AQ56" i="1"/>
  <c r="AL56" i="1"/>
  <c r="AG56" i="1"/>
  <c r="K56" i="1"/>
  <c r="J56" i="1"/>
  <c r="I56" i="1"/>
  <c r="H56" i="1"/>
  <c r="G56" i="1"/>
  <c r="AX55" i="1"/>
  <c r="AQ55" i="1"/>
  <c r="AL55" i="1"/>
  <c r="AG55" i="1"/>
  <c r="J55" i="1"/>
  <c r="I55" i="1"/>
  <c r="H55" i="1"/>
  <c r="Q55" i="1"/>
  <c r="G55" i="1"/>
  <c r="AX54" i="1"/>
  <c r="AQ54" i="1"/>
  <c r="AL54" i="1"/>
  <c r="AG54" i="1"/>
  <c r="J54" i="1"/>
  <c r="I54" i="1"/>
  <c r="H54" i="1"/>
  <c r="Q54" i="1"/>
  <c r="G54" i="1"/>
  <c r="AX53" i="1"/>
  <c r="AQ53" i="1"/>
  <c r="AL53" i="1"/>
  <c r="AG53" i="1"/>
  <c r="J53" i="1"/>
  <c r="I53" i="1"/>
  <c r="H53" i="1"/>
  <c r="Q53" i="1"/>
  <c r="G53" i="1"/>
  <c r="BO41" i="1"/>
  <c r="BE41" i="1"/>
  <c r="AW41" i="1"/>
  <c r="AX41" i="1"/>
  <c r="AQ41" i="1"/>
  <c r="AL41" i="1"/>
  <c r="AG41" i="1"/>
  <c r="M41" i="1"/>
  <c r="L41" i="1"/>
  <c r="H41" i="1"/>
  <c r="G41" i="1"/>
  <c r="R41" i="1"/>
  <c r="BO40" i="1"/>
  <c r="BE40" i="1"/>
  <c r="AW40" i="1"/>
  <c r="AX40" i="1"/>
  <c r="AQ40" i="1"/>
  <c r="AL40" i="1"/>
  <c r="AG40" i="1"/>
  <c r="M40" i="1"/>
  <c r="L40" i="1"/>
  <c r="H40" i="1"/>
  <c r="G40" i="1"/>
  <c r="BO39" i="1"/>
  <c r="BE39" i="1"/>
  <c r="AW39" i="1"/>
  <c r="AX39" i="1"/>
  <c r="AQ39" i="1"/>
  <c r="AL39" i="1"/>
  <c r="AG39" i="1"/>
  <c r="M39" i="1"/>
  <c r="L39" i="1"/>
  <c r="H39" i="1"/>
  <c r="G39" i="1"/>
  <c r="BO38" i="1"/>
  <c r="BE38" i="1"/>
  <c r="AW38" i="1"/>
  <c r="AX38" i="1"/>
  <c r="AQ38" i="1"/>
  <c r="AL38" i="1"/>
  <c r="AG38" i="1"/>
  <c r="M38" i="1"/>
  <c r="L38" i="1"/>
  <c r="H38" i="1"/>
  <c r="G38" i="1"/>
  <c r="R38" i="1"/>
  <c r="BO37" i="1"/>
  <c r="BE37" i="1"/>
  <c r="AW37" i="1"/>
  <c r="AX37" i="1"/>
  <c r="AQ37" i="1"/>
  <c r="AL37" i="1"/>
  <c r="AG37" i="1"/>
  <c r="M37" i="1"/>
  <c r="L37" i="1"/>
  <c r="H37" i="1"/>
  <c r="G37" i="1"/>
  <c r="BO36" i="1"/>
  <c r="BE36" i="1"/>
  <c r="AX36" i="1"/>
  <c r="AQ36" i="1"/>
  <c r="AL36" i="1"/>
  <c r="AG36" i="1"/>
  <c r="M36" i="1"/>
  <c r="L36" i="1"/>
  <c r="H36" i="1"/>
  <c r="G36" i="1"/>
  <c r="BO35" i="1"/>
  <c r="BE35" i="1"/>
  <c r="AV35" i="1"/>
  <c r="AX35" i="1"/>
  <c r="AQ35" i="1"/>
  <c r="AL35" i="1"/>
  <c r="AG35" i="1"/>
  <c r="M35" i="1"/>
  <c r="L35" i="1"/>
  <c r="H35" i="1"/>
  <c r="G35" i="1"/>
  <c r="R35" i="1"/>
  <c r="AV34" i="1"/>
  <c r="AT34" i="1"/>
  <c r="AQ34" i="1"/>
  <c r="AL34" i="1"/>
  <c r="AG34" i="1"/>
  <c r="M34" i="1"/>
  <c r="L34" i="1"/>
  <c r="H34" i="1"/>
  <c r="G34" i="1"/>
  <c r="AV33" i="1"/>
  <c r="AT33" i="1"/>
  <c r="AQ33" i="1"/>
  <c r="AL33" i="1"/>
  <c r="AG33" i="1"/>
  <c r="M33" i="1"/>
  <c r="L33" i="1"/>
  <c r="H33" i="1"/>
  <c r="Q33" i="1"/>
  <c r="G33" i="1"/>
  <c r="BE31" i="1"/>
  <c r="AX31" i="1"/>
  <c r="AQ31" i="1"/>
  <c r="AL31" i="1"/>
  <c r="AG31" i="1"/>
  <c r="M31" i="1"/>
  <c r="L31" i="1"/>
  <c r="H31" i="1"/>
  <c r="Q31" i="1"/>
  <c r="G31" i="1"/>
  <c r="BE30" i="1"/>
  <c r="AX30" i="1"/>
  <c r="AY32" i="1"/>
  <c r="AQ30" i="1"/>
  <c r="AL30" i="1"/>
  <c r="AG30" i="1"/>
  <c r="M30" i="1"/>
  <c r="L30" i="1"/>
  <c r="H30" i="1"/>
  <c r="Q30" i="1"/>
  <c r="G30" i="1"/>
  <c r="BE29" i="1"/>
  <c r="AX29" i="1"/>
  <c r="AQ29" i="1"/>
  <c r="AL29" i="1"/>
  <c r="AG29" i="1"/>
  <c r="M29" i="1"/>
  <c r="L29" i="1"/>
  <c r="E29" i="1"/>
  <c r="H29" i="1"/>
  <c r="BE28" i="1"/>
  <c r="AX28" i="1"/>
  <c r="AQ28" i="1"/>
  <c r="AL28" i="1"/>
  <c r="AG28" i="1"/>
  <c r="M28" i="1"/>
  <c r="L28" i="1"/>
  <c r="E28" i="1"/>
  <c r="BE27" i="1"/>
  <c r="AX27" i="1"/>
  <c r="AQ27" i="1"/>
  <c r="AL27" i="1"/>
  <c r="AG27" i="1"/>
  <c r="M27" i="1"/>
  <c r="L27" i="1"/>
  <c r="E27" i="1"/>
  <c r="H27" i="1"/>
  <c r="BE26" i="1"/>
  <c r="AX26" i="1"/>
  <c r="AQ26" i="1"/>
  <c r="AL26" i="1"/>
  <c r="AG26" i="1"/>
  <c r="M26" i="1"/>
  <c r="L26" i="1"/>
  <c r="H26" i="1"/>
  <c r="G26" i="1"/>
  <c r="R26" i="1"/>
  <c r="BE25" i="1"/>
  <c r="AX25" i="1"/>
  <c r="AQ25" i="1"/>
  <c r="AL25" i="1"/>
  <c r="AG25" i="1"/>
  <c r="M25" i="1"/>
  <c r="L25" i="1"/>
  <c r="H25" i="1"/>
  <c r="G25" i="1"/>
  <c r="AX24" i="1"/>
  <c r="AQ24" i="1"/>
  <c r="AL24" i="1"/>
  <c r="AG24" i="1"/>
  <c r="M24" i="1"/>
  <c r="L24" i="1"/>
  <c r="H24" i="1"/>
  <c r="Q24" i="1"/>
  <c r="G24" i="1"/>
  <c r="R24" i="1"/>
  <c r="AX23" i="1"/>
  <c r="AQ23" i="1"/>
  <c r="AL23" i="1"/>
  <c r="AG23" i="1"/>
  <c r="M23" i="1"/>
  <c r="L23" i="1"/>
  <c r="H23" i="1"/>
  <c r="Q23" i="1"/>
  <c r="G23" i="1"/>
  <c r="BE21" i="1"/>
  <c r="AX21" i="1"/>
  <c r="AQ21" i="1"/>
  <c r="AL21" i="1"/>
  <c r="AG21" i="1"/>
  <c r="K21" i="1"/>
  <c r="H21" i="1"/>
  <c r="Q21" i="1"/>
  <c r="G21" i="1"/>
  <c r="R21" i="1"/>
  <c r="BE20" i="1"/>
  <c r="AX20" i="1"/>
  <c r="AQ20" i="1"/>
  <c r="AL20" i="1"/>
  <c r="AG20" i="1"/>
  <c r="H20" i="1"/>
  <c r="G20" i="1"/>
  <c r="BE19" i="1"/>
  <c r="AW19" i="1"/>
  <c r="AX19" i="1"/>
  <c r="AQ19" i="1"/>
  <c r="AL19" i="1"/>
  <c r="AG19" i="1"/>
  <c r="K19" i="1"/>
  <c r="J19" i="1"/>
  <c r="I19" i="1"/>
  <c r="H19" i="1"/>
  <c r="Q19" i="1"/>
  <c r="G19" i="1"/>
  <c r="S19" i="1"/>
  <c r="BE18" i="1"/>
  <c r="AW18" i="1"/>
  <c r="AX18" i="1"/>
  <c r="AQ18" i="1"/>
  <c r="AL18" i="1"/>
  <c r="AG18" i="1"/>
  <c r="K18" i="1"/>
  <c r="J18" i="1"/>
  <c r="I18" i="1"/>
  <c r="H18" i="1"/>
  <c r="Q18" i="1"/>
  <c r="G18" i="1"/>
  <c r="R18" i="1"/>
  <c r="BE17" i="1"/>
  <c r="AW17" i="1"/>
  <c r="AX17" i="1"/>
  <c r="AQ17" i="1"/>
  <c r="AL17" i="1"/>
  <c r="AG17" i="1"/>
  <c r="K17" i="1"/>
  <c r="J17" i="1"/>
  <c r="I17" i="1"/>
  <c r="H17" i="1"/>
  <c r="Q17" i="1"/>
  <c r="G17" i="1"/>
  <c r="BE16" i="1"/>
  <c r="AW16" i="1"/>
  <c r="AX16" i="1"/>
  <c r="AQ16" i="1"/>
  <c r="AL16" i="1"/>
  <c r="AG16" i="1"/>
  <c r="J16" i="1"/>
  <c r="I16" i="1"/>
  <c r="H16" i="1"/>
  <c r="Q16" i="1"/>
  <c r="G16" i="1"/>
  <c r="AW15" i="1"/>
  <c r="AX15" i="1"/>
  <c r="AQ15" i="1"/>
  <c r="AL15" i="1"/>
  <c r="AG15" i="1"/>
  <c r="J15" i="1"/>
  <c r="I15" i="1"/>
  <c r="H15" i="1"/>
  <c r="G15" i="1"/>
  <c r="S15" i="1"/>
  <c r="AW14" i="1"/>
  <c r="AX14" i="1"/>
  <c r="AQ14" i="1"/>
  <c r="AL14" i="1"/>
  <c r="AG14" i="1"/>
  <c r="J14" i="1"/>
  <c r="I14" i="1"/>
  <c r="H14" i="1"/>
  <c r="G14" i="1"/>
  <c r="R14" i="1"/>
  <c r="AW13" i="1"/>
  <c r="AX13" i="1"/>
  <c r="AQ13" i="1"/>
  <c r="AL13" i="1"/>
  <c r="AG13" i="1"/>
  <c r="J13" i="1"/>
  <c r="I13" i="1"/>
  <c r="H13" i="1"/>
  <c r="Q13" i="1"/>
  <c r="G13" i="1"/>
  <c r="R13" i="1"/>
  <c r="CP11" i="1"/>
  <c r="BE11" i="1"/>
  <c r="AX11" i="1"/>
  <c r="AQ11" i="1"/>
  <c r="AL11" i="1"/>
  <c r="AG11" i="1"/>
  <c r="M11" i="1"/>
  <c r="L11" i="1"/>
  <c r="H11" i="1"/>
  <c r="Q11" i="1"/>
  <c r="G11" i="1"/>
  <c r="R11" i="1"/>
  <c r="CP10" i="1"/>
  <c r="BE10" i="1"/>
  <c r="AX10" i="1"/>
  <c r="AQ10" i="1"/>
  <c r="AL10" i="1"/>
  <c r="AG10" i="1"/>
  <c r="M10" i="1"/>
  <c r="L10" i="1"/>
  <c r="H10" i="1"/>
  <c r="G10" i="1"/>
  <c r="CP9" i="1"/>
  <c r="BE9" i="1"/>
  <c r="AX9" i="1"/>
  <c r="AQ9" i="1"/>
  <c r="AL9" i="1"/>
  <c r="AG9" i="1"/>
  <c r="M9" i="1"/>
  <c r="L9" i="1"/>
  <c r="H9" i="1"/>
  <c r="Q9" i="1"/>
  <c r="G9" i="1"/>
  <c r="CP8" i="1"/>
  <c r="BE8" i="1"/>
  <c r="AX8" i="1"/>
  <c r="AQ8" i="1"/>
  <c r="AL8" i="1"/>
  <c r="AG8" i="1"/>
  <c r="M8" i="1"/>
  <c r="L8" i="1"/>
  <c r="H8" i="1"/>
  <c r="Q8" i="1"/>
  <c r="G8" i="1"/>
  <c r="R8" i="1"/>
  <c r="BE7" i="1"/>
  <c r="AX7" i="1"/>
  <c r="AQ7" i="1"/>
  <c r="AL7" i="1"/>
  <c r="AG7" i="1"/>
  <c r="M7" i="1"/>
  <c r="L7" i="1"/>
  <c r="H7" i="1"/>
  <c r="Q7" i="1"/>
  <c r="G7" i="1"/>
  <c r="S7" i="1"/>
  <c r="BE6" i="1"/>
  <c r="AX6" i="1"/>
  <c r="AQ6" i="1"/>
  <c r="AL6" i="1"/>
  <c r="AG6" i="1"/>
  <c r="M6" i="1"/>
  <c r="L6" i="1"/>
  <c r="H6" i="1"/>
  <c r="Q6" i="1"/>
  <c r="G6" i="1"/>
  <c r="S6" i="1"/>
  <c r="BE5" i="1"/>
  <c r="AX5" i="1"/>
  <c r="AQ5" i="1"/>
  <c r="AL5" i="1"/>
  <c r="AG5" i="1"/>
  <c r="M5" i="1"/>
  <c r="L5" i="1"/>
  <c r="H5" i="1"/>
  <c r="Q5" i="1"/>
  <c r="G5" i="1"/>
  <c r="S5" i="1"/>
  <c r="AX4" i="1"/>
  <c r="AQ4" i="1"/>
  <c r="AL4" i="1"/>
  <c r="AG4" i="1"/>
  <c r="M4" i="1"/>
  <c r="L4" i="1"/>
  <c r="H4" i="1"/>
  <c r="G4" i="1"/>
  <c r="AU3" i="1"/>
  <c r="AT3" i="1"/>
  <c r="AQ3" i="1"/>
  <c r="AL3" i="1"/>
  <c r="AG3" i="1"/>
  <c r="M3" i="1"/>
  <c r="L3" i="1"/>
  <c r="H3" i="1"/>
  <c r="Q3" i="1"/>
  <c r="G3" i="1"/>
  <c r="E13" i="113"/>
  <c r="E12" i="113"/>
  <c r="AY102" i="1"/>
  <c r="AZ122" i="1"/>
  <c r="BB122" i="1"/>
  <c r="CF122" i="1"/>
  <c r="CG122" i="1"/>
  <c r="BA122" i="1"/>
  <c r="BC122" i="1"/>
  <c r="CI122" i="1"/>
  <c r="E11" i="113"/>
  <c r="AY132" i="1"/>
  <c r="AY12" i="1"/>
  <c r="CK122" i="1"/>
  <c r="CJ122" i="1"/>
  <c r="CM122" i="1"/>
  <c r="CN122" i="1"/>
  <c r="CO122" i="1"/>
  <c r="CH122" i="1"/>
  <c r="CE82" i="1"/>
  <c r="CD82" i="1"/>
  <c r="AY22" i="1"/>
  <c r="AY42" i="1"/>
  <c r="AX33" i="1"/>
  <c r="M98" i="1"/>
  <c r="O98" i="1"/>
  <c r="P98" i="1"/>
  <c r="BT98" i="1"/>
  <c r="AX145" i="1"/>
  <c r="CE145" i="1"/>
  <c r="O140" i="1"/>
  <c r="P140" i="1"/>
  <c r="BT140" i="1"/>
  <c r="BK140" i="1"/>
  <c r="BU140" i="1"/>
  <c r="AS153" i="1"/>
  <c r="M13" i="1"/>
  <c r="O13" i="1"/>
  <c r="P13" i="1"/>
  <c r="CD125" i="1"/>
  <c r="S41" i="1"/>
  <c r="AS41" i="1"/>
  <c r="O90" i="1"/>
  <c r="P90" i="1"/>
  <c r="BT90" i="1"/>
  <c r="L128" i="1"/>
  <c r="N128" i="1"/>
  <c r="CE9" i="1"/>
  <c r="R59" i="1"/>
  <c r="D31" i="113"/>
  <c r="N12" i="8"/>
  <c r="N29" i="8"/>
  <c r="L145" i="107"/>
  <c r="N145" i="107"/>
  <c r="D29" i="113"/>
  <c r="E16" i="113"/>
  <c r="N8" i="8"/>
  <c r="N20" i="8"/>
  <c r="N16" i="8"/>
  <c r="J13" i="8"/>
  <c r="S13" i="1"/>
  <c r="CD59" i="1"/>
  <c r="AS149" i="1"/>
  <c r="N153" i="1"/>
  <c r="AS23" i="1"/>
  <c r="L93" i="1"/>
  <c r="N93" i="1"/>
  <c r="R153" i="1"/>
  <c r="AZ116" i="1"/>
  <c r="BB116" i="1"/>
  <c r="C99" i="109"/>
  <c r="F83" i="109"/>
  <c r="O81" i="109"/>
  <c r="C82" i="107"/>
  <c r="F135" i="107"/>
  <c r="M161" i="107"/>
  <c r="N161" i="107"/>
  <c r="F65" i="107"/>
  <c r="O65" i="108"/>
  <c r="C100" i="108"/>
  <c r="F101" i="108"/>
  <c r="L154" i="108"/>
  <c r="N154" i="108"/>
  <c r="L29" i="108"/>
  <c r="F62" i="108"/>
  <c r="F80" i="109"/>
  <c r="M99" i="109"/>
  <c r="I82" i="109"/>
  <c r="I98" i="109"/>
  <c r="M37" i="107"/>
  <c r="O80" i="107"/>
  <c r="O63" i="107"/>
  <c r="L92" i="107"/>
  <c r="M62" i="107"/>
  <c r="C80" i="107"/>
  <c r="C98" i="107"/>
  <c r="M18" i="109"/>
  <c r="L37" i="109"/>
  <c r="N37" i="109"/>
  <c r="M125" i="109"/>
  <c r="M17" i="109"/>
  <c r="M81" i="109"/>
  <c r="O99" i="109"/>
  <c r="F127" i="109"/>
  <c r="L134" i="109"/>
  <c r="L18" i="109"/>
  <c r="L128" i="109"/>
  <c r="N128" i="109"/>
  <c r="L36" i="109"/>
  <c r="L89" i="109"/>
  <c r="I126" i="109"/>
  <c r="M28" i="108"/>
  <c r="L89" i="108"/>
  <c r="N89" i="108"/>
  <c r="M125" i="108"/>
  <c r="L153" i="108"/>
  <c r="N153" i="108"/>
  <c r="L143" i="108"/>
  <c r="F19" i="108"/>
  <c r="O62" i="108"/>
  <c r="F82" i="108"/>
  <c r="I100" i="108"/>
  <c r="M18" i="108"/>
  <c r="M64" i="108"/>
  <c r="I18" i="108"/>
  <c r="L19" i="108"/>
  <c r="O64" i="108"/>
  <c r="M100" i="108"/>
  <c r="M17" i="107"/>
  <c r="N17" i="107"/>
  <c r="C81" i="107"/>
  <c r="I82" i="107"/>
  <c r="L144" i="107"/>
  <c r="N144" i="107"/>
  <c r="M20" i="107"/>
  <c r="C65" i="107"/>
  <c r="F98" i="107"/>
  <c r="M99" i="107"/>
  <c r="F101" i="107"/>
  <c r="F136" i="107"/>
  <c r="F20" i="107"/>
  <c r="F62" i="107"/>
  <c r="L89" i="107"/>
  <c r="C100" i="107"/>
  <c r="D33" i="113"/>
  <c r="B31" i="113"/>
  <c r="J7" i="8"/>
  <c r="N28" i="8"/>
  <c r="K15" i="8"/>
  <c r="K23" i="8"/>
  <c r="E15" i="113"/>
  <c r="N24" i="8"/>
  <c r="K19" i="8"/>
  <c r="K27" i="8"/>
  <c r="N4" i="8"/>
  <c r="J11" i="8"/>
  <c r="E14" i="113"/>
  <c r="B29" i="113"/>
  <c r="AX138" i="1"/>
  <c r="CE138" i="1"/>
  <c r="M14" i="1"/>
  <c r="O14" i="1"/>
  <c r="P14" i="1"/>
  <c r="N81" i="1"/>
  <c r="AS89" i="1"/>
  <c r="AS99" i="1"/>
  <c r="BH121" i="1"/>
  <c r="N38" i="1"/>
  <c r="M55" i="1"/>
  <c r="O55" i="1"/>
  <c r="P55" i="1"/>
  <c r="AS146" i="1"/>
  <c r="R15" i="1"/>
  <c r="S81" i="1"/>
  <c r="S38" i="1"/>
  <c r="AR73" i="1"/>
  <c r="AR39" i="1"/>
  <c r="CE128" i="1"/>
  <c r="CE35" i="1"/>
  <c r="CD7" i="1"/>
  <c r="N90" i="1"/>
  <c r="AZ117" i="1"/>
  <c r="BB117" i="1"/>
  <c r="X116" i="1"/>
  <c r="C22" i="113"/>
  <c r="K11" i="8"/>
  <c r="K13" i="8"/>
  <c r="L17" i="8"/>
  <c r="J21" i="8"/>
  <c r="J25" i="8"/>
  <c r="L27" i="8"/>
  <c r="C20" i="113"/>
  <c r="D34" i="113"/>
  <c r="K5" i="8"/>
  <c r="L11" i="8"/>
  <c r="L13" i="8"/>
  <c r="K21" i="8"/>
  <c r="J27" i="8"/>
  <c r="J3" i="8"/>
  <c r="D32" i="113"/>
  <c r="J9" i="8"/>
  <c r="B30" i="113"/>
  <c r="B33" i="113"/>
  <c r="K3" i="8"/>
  <c r="K7" i="8"/>
  <c r="K9" i="8"/>
  <c r="D30" i="113"/>
  <c r="C24" i="113"/>
  <c r="L5" i="8"/>
  <c r="L7" i="8"/>
  <c r="L9" i="8"/>
  <c r="J15" i="8"/>
  <c r="J23" i="8"/>
  <c r="AY39" i="1"/>
  <c r="R93" i="1"/>
  <c r="N89" i="1"/>
  <c r="BA117" i="1"/>
  <c r="BC117" i="1"/>
  <c r="AY29" i="1"/>
  <c r="S14" i="1"/>
  <c r="AS26" i="1"/>
  <c r="BQ115" i="1"/>
  <c r="BK115" i="1"/>
  <c r="BH115" i="1"/>
  <c r="AX157" i="1"/>
  <c r="BK119" i="1"/>
  <c r="BQ119" i="1"/>
  <c r="AX133" i="1"/>
  <c r="CA133" i="1"/>
  <c r="O154" i="1"/>
  <c r="P154" i="1"/>
  <c r="BQ116" i="1"/>
  <c r="BH116" i="1"/>
  <c r="BK116" i="1"/>
  <c r="CD97" i="1"/>
  <c r="N139" i="1"/>
  <c r="O145" i="1"/>
  <c r="P145" i="1"/>
  <c r="BT145" i="1"/>
  <c r="AS75" i="1"/>
  <c r="CD96" i="1"/>
  <c r="CE129" i="1"/>
  <c r="N6" i="1"/>
  <c r="O9" i="1"/>
  <c r="P9" i="1"/>
  <c r="BT9" i="1"/>
  <c r="CE76" i="1"/>
  <c r="S124" i="1"/>
  <c r="R133" i="1"/>
  <c r="S139" i="1"/>
  <c r="BQ120" i="1"/>
  <c r="BK120" i="1"/>
  <c r="BK121" i="1"/>
  <c r="BQ121" i="1"/>
  <c r="CE27" i="1"/>
  <c r="CD25" i="1"/>
  <c r="N11" i="1"/>
  <c r="AS16" i="1"/>
  <c r="O26" i="1"/>
  <c r="P26" i="1"/>
  <c r="BT26" i="1"/>
  <c r="CD39" i="1"/>
  <c r="O88" i="1"/>
  <c r="P88" i="1"/>
  <c r="BT88" i="1"/>
  <c r="AR157" i="1"/>
  <c r="BH120" i="1"/>
  <c r="BH119" i="1"/>
  <c r="N4" i="1"/>
  <c r="AS9" i="1"/>
  <c r="M19" i="1"/>
  <c r="O19" i="1"/>
  <c r="P19" i="1"/>
  <c r="O41" i="1"/>
  <c r="P41" i="1"/>
  <c r="CE86" i="1"/>
  <c r="AY90" i="1"/>
  <c r="AS125" i="1"/>
  <c r="AX150" i="1"/>
  <c r="N36" i="109"/>
  <c r="F100" i="109"/>
  <c r="M100" i="109"/>
  <c r="L137" i="109"/>
  <c r="C20" i="109"/>
  <c r="L35" i="109"/>
  <c r="F82" i="109"/>
  <c r="M82" i="109"/>
  <c r="I92" i="109"/>
  <c r="I100" i="109"/>
  <c r="N135" i="109"/>
  <c r="L17" i="109"/>
  <c r="L81" i="109"/>
  <c r="M98" i="109"/>
  <c r="L11" i="109"/>
  <c r="M20" i="109"/>
  <c r="M80" i="109"/>
  <c r="L83" i="109"/>
  <c r="M101" i="109"/>
  <c r="L125" i="109"/>
  <c r="L98" i="109"/>
  <c r="L90" i="109"/>
  <c r="L146" i="109"/>
  <c r="L9" i="109"/>
  <c r="M19" i="109"/>
  <c r="N89" i="109"/>
  <c r="L91" i="109"/>
  <c r="L144" i="109"/>
  <c r="F19" i="109"/>
  <c r="L8" i="109"/>
  <c r="L10" i="109"/>
  <c r="L19" i="109"/>
  <c r="C80" i="109"/>
  <c r="M83" i="109"/>
  <c r="F101" i="109"/>
  <c r="M127" i="109"/>
  <c r="L136" i="109"/>
  <c r="M126" i="109"/>
  <c r="L38" i="109"/>
  <c r="N38" i="109"/>
  <c r="L81" i="108"/>
  <c r="M26" i="108"/>
  <c r="L38" i="108"/>
  <c r="N38" i="108"/>
  <c r="F55" i="108"/>
  <c r="L55" i="108"/>
  <c r="F56" i="108"/>
  <c r="C64" i="108"/>
  <c r="L64" i="108"/>
  <c r="N64" i="108"/>
  <c r="I125" i="108"/>
  <c r="C128" i="108"/>
  <c r="M27" i="108"/>
  <c r="L152" i="108"/>
  <c r="N152" i="108"/>
  <c r="M126" i="108"/>
  <c r="L11" i="108"/>
  <c r="F53" i="108"/>
  <c r="M55" i="108"/>
  <c r="F127" i="108"/>
  <c r="L80" i="108"/>
  <c r="M17" i="108"/>
  <c r="M19" i="108"/>
  <c r="M80" i="108"/>
  <c r="M99" i="108"/>
  <c r="L135" i="108"/>
  <c r="L137" i="107"/>
  <c r="L146" i="107"/>
  <c r="M136" i="107"/>
  <c r="L163" i="107"/>
  <c r="N163" i="107"/>
  <c r="M80" i="107"/>
  <c r="M137" i="107"/>
  <c r="L9" i="107"/>
  <c r="N9" i="107"/>
  <c r="M18" i="107"/>
  <c r="N18" i="107"/>
  <c r="C20" i="107"/>
  <c r="L38" i="107"/>
  <c r="M53" i="107"/>
  <c r="O54" i="107"/>
  <c r="M65" i="107"/>
  <c r="F82" i="107"/>
  <c r="O134" i="107"/>
  <c r="C136" i="107"/>
  <c r="M36" i="107"/>
  <c r="M19" i="107"/>
  <c r="L164" i="107"/>
  <c r="N164" i="107"/>
  <c r="I53" i="107"/>
  <c r="I55" i="107"/>
  <c r="I100" i="107"/>
  <c r="L155" i="107"/>
  <c r="I56" i="108"/>
  <c r="L65" i="108"/>
  <c r="M54" i="108"/>
  <c r="M62" i="108"/>
  <c r="O63" i="108"/>
  <c r="M63" i="108"/>
  <c r="M65" i="108"/>
  <c r="M81" i="108"/>
  <c r="M82" i="108"/>
  <c r="O98" i="108"/>
  <c r="M98" i="108"/>
  <c r="L99" i="108"/>
  <c r="L125" i="108"/>
  <c r="L144" i="108"/>
  <c r="M20" i="108"/>
  <c r="N28" i="108"/>
  <c r="L36" i="108"/>
  <c r="L91" i="108"/>
  <c r="L100" i="108"/>
  <c r="M101" i="108"/>
  <c r="M53" i="108"/>
  <c r="L20" i="108"/>
  <c r="L90" i="108"/>
  <c r="C54" i="108"/>
  <c r="L54" i="108"/>
  <c r="L134" i="108"/>
  <c r="L155" i="108"/>
  <c r="N155" i="108"/>
  <c r="L10" i="108"/>
  <c r="F17" i="108"/>
  <c r="N29" i="108"/>
  <c r="L37" i="108"/>
  <c r="I82" i="108"/>
  <c r="M83" i="108"/>
  <c r="I83" i="108"/>
  <c r="M128" i="108"/>
  <c r="L145" i="108"/>
  <c r="L146" i="108"/>
  <c r="L8" i="108"/>
  <c r="C101" i="108"/>
  <c r="F128" i="108"/>
  <c r="L35" i="108"/>
  <c r="F92" i="108"/>
  <c r="L9" i="108"/>
  <c r="C53" i="108"/>
  <c r="I63" i="108"/>
  <c r="M127" i="108"/>
  <c r="I127" i="108"/>
  <c r="L136" i="108"/>
  <c r="L137" i="108"/>
  <c r="M56" i="108"/>
  <c r="L126" i="108"/>
  <c r="N11" i="107"/>
  <c r="L19" i="107"/>
  <c r="L83" i="107"/>
  <c r="L8" i="107"/>
  <c r="N37" i="107"/>
  <c r="I56" i="107"/>
  <c r="L162" i="107"/>
  <c r="N162" i="107"/>
  <c r="L27" i="107"/>
  <c r="L28" i="107"/>
  <c r="L29" i="107"/>
  <c r="M55" i="107"/>
  <c r="C64" i="107"/>
  <c r="M64" i="107"/>
  <c r="M98" i="107"/>
  <c r="M100" i="107"/>
  <c r="L152" i="107"/>
  <c r="L154" i="107"/>
  <c r="M83" i="107"/>
  <c r="M35" i="107"/>
  <c r="L99" i="107"/>
  <c r="M56" i="107"/>
  <c r="M153" i="107"/>
  <c r="F81" i="107"/>
  <c r="M81" i="107"/>
  <c r="M101" i="107"/>
  <c r="L143" i="107"/>
  <c r="L10" i="107"/>
  <c r="C101" i="107"/>
  <c r="O135" i="107"/>
  <c r="M135" i="107"/>
  <c r="M82" i="107"/>
  <c r="L153" i="107"/>
  <c r="L26" i="107"/>
  <c r="F54" i="107"/>
  <c r="M54" i="107"/>
  <c r="F55" i="107"/>
  <c r="C63" i="107"/>
  <c r="M63" i="107"/>
  <c r="I64" i="107"/>
  <c r="F92" i="107"/>
  <c r="M134" i="107"/>
  <c r="CD99" i="1"/>
  <c r="AY101" i="1"/>
  <c r="CD5" i="1"/>
  <c r="L19" i="1"/>
  <c r="N19" i="1"/>
  <c r="AS29" i="1"/>
  <c r="AR56" i="1"/>
  <c r="AY58" i="1"/>
  <c r="L58" i="1"/>
  <c r="N58" i="1"/>
  <c r="AY81" i="1"/>
  <c r="O83" i="1"/>
  <c r="P83" i="1"/>
  <c r="CD87" i="1"/>
  <c r="L97" i="1"/>
  <c r="N97" i="1"/>
  <c r="AR128" i="1"/>
  <c r="AY130" i="1"/>
  <c r="M137" i="1"/>
  <c r="O137" i="1"/>
  <c r="P137" i="1"/>
  <c r="AX140" i="1"/>
  <c r="CE148" i="1"/>
  <c r="N149" i="1"/>
  <c r="CD149" i="1"/>
  <c r="X120" i="1"/>
  <c r="AR24" i="1"/>
  <c r="M17" i="1"/>
  <c r="O17" i="1"/>
  <c r="P17" i="1"/>
  <c r="AS80" i="1"/>
  <c r="M95" i="1"/>
  <c r="O95" i="1"/>
  <c r="P95" i="1"/>
  <c r="BT95" i="1"/>
  <c r="L98" i="1"/>
  <c r="N98" i="1"/>
  <c r="O138" i="1"/>
  <c r="P138" i="1"/>
  <c r="AS20" i="1"/>
  <c r="O24" i="1"/>
  <c r="P24" i="1"/>
  <c r="N85" i="1"/>
  <c r="R135" i="1"/>
  <c r="N8" i="1"/>
  <c r="AR134" i="1"/>
  <c r="AR40" i="1"/>
  <c r="AR87" i="1"/>
  <c r="BA116" i="1"/>
  <c r="BC116" i="1"/>
  <c r="AS73" i="1"/>
  <c r="AS94" i="1"/>
  <c r="AR98" i="1"/>
  <c r="AR125" i="1"/>
  <c r="CD128" i="1"/>
  <c r="M130" i="1"/>
  <c r="O130" i="1"/>
  <c r="P130" i="1"/>
  <c r="BT130" i="1"/>
  <c r="N144" i="1"/>
  <c r="AS6" i="1"/>
  <c r="AY16" i="1"/>
  <c r="AS17" i="1"/>
  <c r="CD26" i="1"/>
  <c r="AR41" i="1"/>
  <c r="AY61" i="1"/>
  <c r="CE60" i="1"/>
  <c r="O79" i="1"/>
  <c r="P79" i="1"/>
  <c r="BT79" i="1"/>
  <c r="S87" i="1"/>
  <c r="AR88" i="1"/>
  <c r="M93" i="1"/>
  <c r="O93" i="1"/>
  <c r="P93" i="1"/>
  <c r="R134" i="1"/>
  <c r="AX134" i="1"/>
  <c r="CA134" i="1"/>
  <c r="AS137" i="1"/>
  <c r="AS138" i="1"/>
  <c r="Q140" i="1"/>
  <c r="AX141" i="1"/>
  <c r="CE141" i="1"/>
  <c r="AS10" i="1"/>
  <c r="CE8" i="1"/>
  <c r="O23" i="1"/>
  <c r="P23" i="1"/>
  <c r="AS134" i="1"/>
  <c r="S24" i="1"/>
  <c r="AR26" i="1"/>
  <c r="R149" i="1"/>
  <c r="N5" i="1"/>
  <c r="AX3" i="1"/>
  <c r="AY5" i="1"/>
  <c r="N7" i="1"/>
  <c r="S8" i="1"/>
  <c r="O11" i="1"/>
  <c r="P11" i="1"/>
  <c r="BT11" i="1"/>
  <c r="BU25" i="1"/>
  <c r="BV25" i="1"/>
  <c r="S26" i="1"/>
  <c r="AX34" i="1"/>
  <c r="CD38" i="1"/>
  <c r="AY56" i="1"/>
  <c r="N75" i="1"/>
  <c r="CD81" i="1"/>
  <c r="O158" i="1"/>
  <c r="P158" i="1"/>
  <c r="BT158" i="1"/>
  <c r="AX159" i="1"/>
  <c r="CD159" i="1"/>
  <c r="AZ121" i="1"/>
  <c r="BB121" i="1"/>
  <c r="AZ115" i="1"/>
  <c r="BB115" i="1"/>
  <c r="R74" i="1"/>
  <c r="S74" i="1"/>
  <c r="CE57" i="1"/>
  <c r="Q57" i="1"/>
  <c r="AR23" i="1"/>
  <c r="N37" i="1"/>
  <c r="R37" i="1"/>
  <c r="S37" i="1"/>
  <c r="Q73" i="1"/>
  <c r="O73" i="1"/>
  <c r="P73" i="1"/>
  <c r="Q78" i="1"/>
  <c r="M136" i="1"/>
  <c r="O136" i="1"/>
  <c r="P136" i="1"/>
  <c r="L136" i="1"/>
  <c r="N136" i="1"/>
  <c r="Q4" i="1"/>
  <c r="O4" i="1"/>
  <c r="P4" i="1"/>
  <c r="S54" i="1"/>
  <c r="R54" i="1"/>
  <c r="CE19" i="1"/>
  <c r="CD19" i="1"/>
  <c r="R30" i="1"/>
  <c r="N30" i="1"/>
  <c r="S30" i="1"/>
  <c r="S94" i="1"/>
  <c r="R94" i="1"/>
  <c r="R10" i="1"/>
  <c r="N10" i="1"/>
  <c r="S10" i="1"/>
  <c r="Q58" i="1"/>
  <c r="AS79" i="1"/>
  <c r="AS159" i="1"/>
  <c r="AR159" i="1"/>
  <c r="AR36" i="1"/>
  <c r="AS36" i="1"/>
  <c r="M78" i="1"/>
  <c r="O78" i="1"/>
  <c r="P78" i="1"/>
  <c r="BT78" i="1"/>
  <c r="L78" i="1"/>
  <c r="N78" i="1"/>
  <c r="R101" i="1"/>
  <c r="S101" i="1"/>
  <c r="AR147" i="1"/>
  <c r="AS147" i="1"/>
  <c r="R31" i="1"/>
  <c r="S31" i="1"/>
  <c r="M126" i="1"/>
  <c r="O126" i="1"/>
  <c r="P126" i="1"/>
  <c r="BT126" i="1"/>
  <c r="L126" i="1"/>
  <c r="N126" i="1"/>
  <c r="Q27" i="1"/>
  <c r="O27" i="1"/>
  <c r="P27" i="1"/>
  <c r="BT27" i="1"/>
  <c r="R76" i="1"/>
  <c r="S76" i="1"/>
  <c r="BU145" i="1"/>
  <c r="BV145" i="1"/>
  <c r="AR29" i="1"/>
  <c r="Q77" i="1"/>
  <c r="AY125" i="1"/>
  <c r="CA123" i="1"/>
  <c r="L125" i="1"/>
  <c r="N125" i="1"/>
  <c r="R159" i="1"/>
  <c r="S159" i="1"/>
  <c r="S9" i="1"/>
  <c r="N9" i="1"/>
  <c r="AR17" i="1"/>
  <c r="R20" i="1"/>
  <c r="S20" i="1"/>
  <c r="M21" i="1"/>
  <c r="O21" i="1"/>
  <c r="P21" i="1"/>
  <c r="S23" i="1"/>
  <c r="N23" i="1"/>
  <c r="Q35" i="1"/>
  <c r="O35" i="1"/>
  <c r="P35" i="1"/>
  <c r="BT35" i="1"/>
  <c r="R36" i="1"/>
  <c r="S36" i="1"/>
  <c r="S55" i="1"/>
  <c r="R55" i="1"/>
  <c r="M56" i="1"/>
  <c r="O56" i="1"/>
  <c r="P56" i="1"/>
  <c r="AY59" i="1"/>
  <c r="L61" i="1"/>
  <c r="N61" i="1"/>
  <c r="R85" i="1"/>
  <c r="S85" i="1"/>
  <c r="AR143" i="1"/>
  <c r="CD147" i="1"/>
  <c r="N157" i="1"/>
  <c r="R157" i="1"/>
  <c r="L17" i="1"/>
  <c r="N17" i="1"/>
  <c r="AR20" i="1"/>
  <c r="CD30" i="1"/>
  <c r="AR33" i="1"/>
  <c r="AS53" i="1"/>
  <c r="AR55" i="1"/>
  <c r="R75" i="1"/>
  <c r="S75" i="1"/>
  <c r="L77" i="1"/>
  <c r="N77" i="1"/>
  <c r="O84" i="1"/>
  <c r="P84" i="1"/>
  <c r="O85" i="1"/>
  <c r="P85" i="1"/>
  <c r="BT85" i="1"/>
  <c r="AS93" i="1"/>
  <c r="AR93" i="1"/>
  <c r="M97" i="1"/>
  <c r="O97" i="1"/>
  <c r="P97" i="1"/>
  <c r="BT97" i="1"/>
  <c r="S130" i="1"/>
  <c r="CD130" i="1"/>
  <c r="AX136" i="1"/>
  <c r="CD136" i="1"/>
  <c r="R140" i="1"/>
  <c r="S140" i="1"/>
  <c r="AX144" i="1"/>
  <c r="BU147" i="1"/>
  <c r="R156" i="1"/>
  <c r="N156" i="1"/>
  <c r="S148" i="1"/>
  <c r="R148" i="1"/>
  <c r="N148" i="1"/>
  <c r="BU29" i="1"/>
  <c r="BY29" i="1"/>
  <c r="BZ29" i="1"/>
  <c r="Q56" i="1"/>
  <c r="CE56" i="1"/>
  <c r="AS76" i="1"/>
  <c r="O6" i="1"/>
  <c r="P6" i="1"/>
  <c r="AR16" i="1"/>
  <c r="O30" i="1"/>
  <c r="P30" i="1"/>
  <c r="BT30" i="1"/>
  <c r="CD76" i="1"/>
  <c r="M124" i="1"/>
  <c r="O124" i="1"/>
  <c r="P124" i="1"/>
  <c r="L124" i="1"/>
  <c r="N124" i="1"/>
  <c r="Q130" i="1"/>
  <c r="Q139" i="1"/>
  <c r="O139" i="1"/>
  <c r="P139" i="1"/>
  <c r="BT139" i="1"/>
  <c r="BK139" i="1"/>
  <c r="BU139" i="1"/>
  <c r="S147" i="1"/>
  <c r="O5" i="1"/>
  <c r="P5" i="1"/>
  <c r="BT5" i="1"/>
  <c r="AR21" i="1"/>
  <c r="S25" i="1"/>
  <c r="R25" i="1"/>
  <c r="N25" i="1"/>
  <c r="AS25" i="1"/>
  <c r="R33" i="1"/>
  <c r="N33" i="1"/>
  <c r="S33" i="1"/>
  <c r="L79" i="1"/>
  <c r="N79" i="1"/>
  <c r="Q93" i="1"/>
  <c r="S96" i="1"/>
  <c r="R96" i="1"/>
  <c r="AS96" i="1"/>
  <c r="AY129" i="1"/>
  <c r="Q128" i="1"/>
  <c r="AY128" i="1"/>
  <c r="AR137" i="1"/>
  <c r="AS143" i="1"/>
  <c r="O144" i="1"/>
  <c r="P144" i="1"/>
  <c r="O146" i="1"/>
  <c r="P146" i="1"/>
  <c r="BT146" i="1"/>
  <c r="BU149" i="1"/>
  <c r="CD80" i="1"/>
  <c r="CE80" i="1"/>
  <c r="BU28" i="1"/>
  <c r="BY28" i="1"/>
  <c r="BZ28" i="1"/>
  <c r="O77" i="1"/>
  <c r="P77" i="1"/>
  <c r="BT77" i="1"/>
  <c r="AS4" i="1"/>
  <c r="AR6" i="1"/>
  <c r="AR10" i="1"/>
  <c r="R23" i="1"/>
  <c r="L55" i="1"/>
  <c r="N55" i="1"/>
  <c r="CD58" i="1"/>
  <c r="O86" i="1"/>
  <c r="P86" i="1"/>
  <c r="BT86" i="1"/>
  <c r="O91" i="1"/>
  <c r="P91" i="1"/>
  <c r="BT91" i="1"/>
  <c r="AS98" i="1"/>
  <c r="CE130" i="1"/>
  <c r="AX137" i="1"/>
  <c r="CE137" i="1"/>
  <c r="O143" i="1"/>
  <c r="P143" i="1"/>
  <c r="Q143" i="1"/>
  <c r="BA115" i="1"/>
  <c r="BC115" i="1"/>
  <c r="CE117" i="1"/>
  <c r="N3" i="1"/>
  <c r="AY9" i="1"/>
  <c r="CD10" i="1"/>
  <c r="CE11" i="1"/>
  <c r="BU31" i="1"/>
  <c r="BV31" i="1"/>
  <c r="AS38" i="1"/>
  <c r="N40" i="1"/>
  <c r="AY60" i="1"/>
  <c r="AR60" i="1"/>
  <c r="O74" i="1"/>
  <c r="P74" i="1"/>
  <c r="N86" i="1"/>
  <c r="N87" i="1"/>
  <c r="AR89" i="1"/>
  <c r="M128" i="1"/>
  <c r="O128" i="1"/>
  <c r="P128" i="1"/>
  <c r="BT128" i="1"/>
  <c r="L131" i="1"/>
  <c r="N131" i="1"/>
  <c r="AS144" i="1"/>
  <c r="AX146" i="1"/>
  <c r="AY148" i="1"/>
  <c r="O151" i="1"/>
  <c r="P151" i="1"/>
  <c r="BT151" i="1"/>
  <c r="S155" i="1"/>
  <c r="O156" i="1"/>
  <c r="P156" i="1"/>
  <c r="BT156" i="1"/>
  <c r="BA121" i="1"/>
  <c r="BC121" i="1"/>
  <c r="R3" i="1"/>
  <c r="AY6" i="1"/>
  <c r="CE7" i="1"/>
  <c r="AR14" i="1"/>
  <c r="AS18" i="1"/>
  <c r="M20" i="1"/>
  <c r="O20" i="1"/>
  <c r="P20" i="1"/>
  <c r="AS21" i="1"/>
  <c r="AR30" i="1"/>
  <c r="N31" i="1"/>
  <c r="O33" i="1"/>
  <c r="P33" i="1"/>
  <c r="L54" i="1"/>
  <c r="N54" i="1"/>
  <c r="M58" i="1"/>
  <c r="O58" i="1"/>
  <c r="P58" i="1"/>
  <c r="CE58" i="1"/>
  <c r="CE59" i="1"/>
  <c r="AS88" i="1"/>
  <c r="AR135" i="1"/>
  <c r="AX143" i="1"/>
  <c r="N145" i="1"/>
  <c r="AR150" i="1"/>
  <c r="N155" i="1"/>
  <c r="O117" i="1"/>
  <c r="P117" i="1"/>
  <c r="BT117" i="1"/>
  <c r="BN117" i="1"/>
  <c r="AS3" i="1"/>
  <c r="AS5" i="1"/>
  <c r="AR7" i="1"/>
  <c r="AR9" i="1"/>
  <c r="AS11" i="1"/>
  <c r="M18" i="1"/>
  <c r="O18" i="1"/>
  <c r="P18" i="1"/>
  <c r="BU26" i="1"/>
  <c r="BW26" i="1"/>
  <c r="BU27" i="1"/>
  <c r="BW27" i="1"/>
  <c r="AS28" i="1"/>
  <c r="O31" i="1"/>
  <c r="P31" i="1"/>
  <c r="BT31" i="1"/>
  <c r="N36" i="1"/>
  <c r="N41" i="1"/>
  <c r="S79" i="1"/>
  <c r="AS84" i="1"/>
  <c r="AX95" i="1"/>
  <c r="AY97" i="1"/>
  <c r="AS133" i="1"/>
  <c r="AX135" i="1"/>
  <c r="CE135" i="1"/>
  <c r="AX139" i="1"/>
  <c r="S143" i="1"/>
  <c r="N146" i="1"/>
  <c r="BU150" i="1"/>
  <c r="BV150" i="1"/>
  <c r="O153" i="1"/>
  <c r="P153" i="1"/>
  <c r="O155" i="1"/>
  <c r="BG155" i="1"/>
  <c r="BH155" i="1"/>
  <c r="AX156" i="1"/>
  <c r="CD156" i="1"/>
  <c r="E25" i="113"/>
  <c r="C34" i="113"/>
  <c r="C32" i="113"/>
  <c r="E23" i="113"/>
  <c r="B32" i="113"/>
  <c r="J5" i="8"/>
  <c r="L15" i="8"/>
  <c r="C21" i="113"/>
  <c r="L21" i="8"/>
  <c r="J19" i="8"/>
  <c r="B34" i="113"/>
  <c r="L19" i="8"/>
  <c r="L23" i="8"/>
  <c r="K17" i="8"/>
  <c r="K25" i="8"/>
  <c r="L25" i="8"/>
  <c r="L3" i="8"/>
  <c r="J17" i="8"/>
  <c r="AZ119" i="1"/>
  <c r="BB119" i="1"/>
  <c r="AZ120" i="1"/>
  <c r="BB120" i="1"/>
  <c r="AZ118" i="1"/>
  <c r="BB118" i="1"/>
  <c r="BA118" i="1"/>
  <c r="BC118" i="1"/>
  <c r="BA120" i="1"/>
  <c r="BC120" i="1"/>
  <c r="BA119" i="1"/>
  <c r="BC119" i="1"/>
  <c r="CE21" i="1"/>
  <c r="CD21" i="1"/>
  <c r="CE18" i="1"/>
  <c r="AY20" i="1"/>
  <c r="CD18" i="1"/>
  <c r="Q29" i="1"/>
  <c r="O29" i="1"/>
  <c r="P29" i="1"/>
  <c r="BT29" i="1"/>
  <c r="CD20" i="1"/>
  <c r="CE20" i="1"/>
  <c r="O39" i="1"/>
  <c r="P39" i="1"/>
  <c r="M59" i="1"/>
  <c r="O59" i="1"/>
  <c r="P59" i="1"/>
  <c r="L59" i="1"/>
  <c r="N59" i="1"/>
  <c r="O75" i="1"/>
  <c r="P75" i="1"/>
  <c r="BT75" i="1"/>
  <c r="AY15" i="1"/>
  <c r="AR81" i="1"/>
  <c r="AS81" i="1"/>
  <c r="CE6" i="1"/>
  <c r="CD6" i="1"/>
  <c r="Q10" i="1"/>
  <c r="O10" i="1"/>
  <c r="P10" i="1"/>
  <c r="AY18" i="1"/>
  <c r="S18" i="1"/>
  <c r="S21" i="1"/>
  <c r="BU30" i="1"/>
  <c r="N34" i="1"/>
  <c r="S34" i="1"/>
  <c r="M54" i="1"/>
  <c r="O54" i="1"/>
  <c r="P54" i="1"/>
  <c r="CE78" i="1"/>
  <c r="CD78" i="1"/>
  <c r="AY80" i="1"/>
  <c r="AY88" i="1"/>
  <c r="CD86" i="1"/>
  <c r="AY19" i="1"/>
  <c r="CD17" i="1"/>
  <c r="CE17" i="1"/>
  <c r="S61" i="1"/>
  <c r="L100" i="1"/>
  <c r="N100" i="1"/>
  <c r="M100" i="1"/>
  <c r="O100" i="1"/>
  <c r="P100" i="1"/>
  <c r="BT100" i="1"/>
  <c r="AR4" i="1"/>
  <c r="AY10" i="1"/>
  <c r="CD8" i="1"/>
  <c r="AS19" i="1"/>
  <c r="AR19" i="1"/>
  <c r="CD89" i="1"/>
  <c r="AY91" i="1"/>
  <c r="CE89" i="1"/>
  <c r="S3" i="1"/>
  <c r="AY8" i="1"/>
  <c r="L13" i="1"/>
  <c r="N13" i="1"/>
  <c r="R16" i="1"/>
  <c r="S16" i="1"/>
  <c r="AY27" i="1"/>
  <c r="AR28" i="1"/>
  <c r="AS30" i="1"/>
  <c r="AR38" i="1"/>
  <c r="AR74" i="1"/>
  <c r="AS74" i="1"/>
  <c r="R4" i="1"/>
  <c r="AR5" i="1"/>
  <c r="R7" i="1"/>
  <c r="AR11" i="1"/>
  <c r="Q14" i="1"/>
  <c r="AR15" i="1"/>
  <c r="CD15" i="1"/>
  <c r="L20" i="1"/>
  <c r="N20" i="1"/>
  <c r="N26" i="1"/>
  <c r="Q34" i="1"/>
  <c r="O34" i="1"/>
  <c r="P34" i="1"/>
  <c r="AY40" i="1"/>
  <c r="CE38" i="1"/>
  <c r="Q39" i="1"/>
  <c r="S53" i="1"/>
  <c r="R53" i="1"/>
  <c r="L56" i="1"/>
  <c r="N56" i="1"/>
  <c r="S57" i="1"/>
  <c r="R57" i="1"/>
  <c r="R58" i="1"/>
  <c r="AS60" i="1"/>
  <c r="Q75" i="1"/>
  <c r="AY78" i="1"/>
  <c r="O81" i="1"/>
  <c r="P81" i="1"/>
  <c r="BT81" i="1"/>
  <c r="Q81" i="1"/>
  <c r="AY89" i="1"/>
  <c r="CE88" i="1"/>
  <c r="CD88" i="1"/>
  <c r="S4" i="1"/>
  <c r="R5" i="1"/>
  <c r="AY7" i="1"/>
  <c r="R9" i="1"/>
  <c r="CD9" i="1"/>
  <c r="S11" i="1"/>
  <c r="CD11" i="1"/>
  <c r="L14" i="1"/>
  <c r="N14" i="1"/>
  <c r="M15" i="1"/>
  <c r="O15" i="1"/>
  <c r="P15" i="1"/>
  <c r="L15" i="1"/>
  <c r="N15" i="1"/>
  <c r="CE15" i="1"/>
  <c r="S17" i="1"/>
  <c r="R17" i="1"/>
  <c r="R19" i="1"/>
  <c r="AY21" i="1"/>
  <c r="AR25" i="1"/>
  <c r="Q26" i="1"/>
  <c r="AR31" i="1"/>
  <c r="AS31" i="1"/>
  <c r="AS33" i="1"/>
  <c r="R40" i="1"/>
  <c r="CE40" i="1"/>
  <c r="CD40" i="1"/>
  <c r="AR53" i="1"/>
  <c r="AY79" i="1"/>
  <c r="CE77" i="1"/>
  <c r="CD77" i="1"/>
  <c r="S78" i="1"/>
  <c r="CE81" i="1"/>
  <c r="CE126" i="1"/>
  <c r="CD126" i="1"/>
  <c r="AS145" i="1"/>
  <c r="AR145" i="1"/>
  <c r="CD85" i="1"/>
  <c r="AY85" i="1"/>
  <c r="AY86" i="1"/>
  <c r="AR97" i="1"/>
  <c r="AS97" i="1"/>
  <c r="AY17" i="1"/>
  <c r="AR35" i="1"/>
  <c r="AS35" i="1"/>
  <c r="CD36" i="1"/>
  <c r="AY38" i="1"/>
  <c r="CE36" i="1"/>
  <c r="AR37" i="1"/>
  <c r="AS37" i="1"/>
  <c r="O40" i="1"/>
  <c r="P40" i="1"/>
  <c r="Q40" i="1"/>
  <c r="CD16" i="1"/>
  <c r="O25" i="1"/>
  <c r="P25" i="1"/>
  <c r="BT25" i="1"/>
  <c r="S40" i="1"/>
  <c r="AS56" i="1"/>
  <c r="L57" i="1"/>
  <c r="N57" i="1"/>
  <c r="M57" i="1"/>
  <c r="O57" i="1"/>
  <c r="P57" i="1"/>
  <c r="AS83" i="1"/>
  <c r="AR83" i="1"/>
  <c r="Q85" i="1"/>
  <c r="CE85" i="1"/>
  <c r="AR95" i="1"/>
  <c r="AS95" i="1"/>
  <c r="AR123" i="1"/>
  <c r="AS123" i="1"/>
  <c r="AS139" i="1"/>
  <c r="AR139" i="1"/>
  <c r="O3" i="1"/>
  <c r="P3" i="1"/>
  <c r="AR3" i="1"/>
  <c r="O7" i="1"/>
  <c r="P7" i="1"/>
  <c r="O8" i="1"/>
  <c r="P8" i="1"/>
  <c r="AS8" i="1"/>
  <c r="AR8" i="1"/>
  <c r="CE10" i="1"/>
  <c r="AY11" i="1"/>
  <c r="AR13" i="1"/>
  <c r="AS13" i="1"/>
  <c r="AS15" i="1"/>
  <c r="CE16" i="1"/>
  <c r="N24" i="1"/>
  <c r="Q25" i="1"/>
  <c r="CE26" i="1"/>
  <c r="AR27" i="1"/>
  <c r="AS27" i="1"/>
  <c r="G28" i="1"/>
  <c r="H28" i="1"/>
  <c r="CE28" i="1"/>
  <c r="CE29" i="1"/>
  <c r="AY30" i="1"/>
  <c r="CE31" i="1"/>
  <c r="CD31" i="1"/>
  <c r="R34" i="1"/>
  <c r="AY37" i="1"/>
  <c r="AS39" i="1"/>
  <c r="M53" i="1"/>
  <c r="O53" i="1"/>
  <c r="P53" i="1"/>
  <c r="L53" i="1"/>
  <c r="N53" i="1"/>
  <c r="CD57" i="1"/>
  <c r="AS58" i="1"/>
  <c r="AR58" i="1"/>
  <c r="S60" i="1"/>
  <c r="CD60" i="1"/>
  <c r="CD61" i="1"/>
  <c r="CE61" i="1"/>
  <c r="AY76" i="1"/>
  <c r="AY75" i="1"/>
  <c r="AR80" i="1"/>
  <c r="S83" i="1"/>
  <c r="N83" i="1"/>
  <c r="CE97" i="1"/>
  <c r="L127" i="1"/>
  <c r="N127" i="1"/>
  <c r="M127" i="1"/>
  <c r="O127" i="1"/>
  <c r="P127" i="1"/>
  <c r="BT127" i="1"/>
  <c r="AS34" i="1"/>
  <c r="AR34" i="1"/>
  <c r="AS54" i="1"/>
  <c r="AR54" i="1"/>
  <c r="L60" i="1"/>
  <c r="N60" i="1"/>
  <c r="M60" i="1"/>
  <c r="O60" i="1"/>
  <c r="P60" i="1"/>
  <c r="Q150" i="1"/>
  <c r="O150" i="1"/>
  <c r="P150" i="1"/>
  <c r="BT150" i="1"/>
  <c r="G29" i="1"/>
  <c r="AR57" i="1"/>
  <c r="AS57" i="1"/>
  <c r="AS101" i="1"/>
  <c r="AR101" i="1"/>
  <c r="M16" i="1"/>
  <c r="O16" i="1"/>
  <c r="P16" i="1"/>
  <c r="L16" i="1"/>
  <c r="N16" i="1"/>
  <c r="CE25" i="1"/>
  <c r="AY28" i="1"/>
  <c r="M61" i="1"/>
  <c r="O61" i="1"/>
  <c r="P61" i="1"/>
  <c r="N73" i="1"/>
  <c r="S73" i="1"/>
  <c r="AR85" i="1"/>
  <c r="AS85" i="1"/>
  <c r="AS7" i="1"/>
  <c r="AS14" i="1"/>
  <c r="Q15" i="1"/>
  <c r="Q20" i="1"/>
  <c r="AY26" i="1"/>
  <c r="AY25" i="1"/>
  <c r="AY31" i="1"/>
  <c r="O37" i="1"/>
  <c r="P37" i="1"/>
  <c r="CE37" i="1"/>
  <c r="Q37" i="1"/>
  <c r="S39" i="1"/>
  <c r="R39" i="1"/>
  <c r="N39" i="1"/>
  <c r="CE41" i="1"/>
  <c r="CD41" i="1"/>
  <c r="AS55" i="1"/>
  <c r="AS59" i="1"/>
  <c r="AR59" i="1"/>
  <c r="Q60" i="1"/>
  <c r="R61" i="1"/>
  <c r="AR75" i="1"/>
  <c r="M76" i="1"/>
  <c r="O76" i="1"/>
  <c r="P76" i="1"/>
  <c r="BT76" i="1"/>
  <c r="L76" i="1"/>
  <c r="N76" i="1"/>
  <c r="AS77" i="1"/>
  <c r="AR77" i="1"/>
  <c r="AY87" i="1"/>
  <c r="CD90" i="1"/>
  <c r="CE90" i="1"/>
  <c r="AS91" i="1"/>
  <c r="AR91" i="1"/>
  <c r="Q99" i="1"/>
  <c r="Q137" i="1"/>
  <c r="N141" i="1"/>
  <c r="S141" i="1"/>
  <c r="R141" i="1"/>
  <c r="CE5" i="1"/>
  <c r="Q36" i="1"/>
  <c r="O36" i="1"/>
  <c r="P36" i="1"/>
  <c r="AS40" i="1"/>
  <c r="AZ42" i="1"/>
  <c r="BB42" i="1"/>
  <c r="CF42" i="1"/>
  <c r="Q41" i="1"/>
  <c r="M80" i="1"/>
  <c r="O80" i="1"/>
  <c r="P80" i="1"/>
  <c r="BT80" i="1"/>
  <c r="L80" i="1"/>
  <c r="N80" i="1"/>
  <c r="AR84" i="1"/>
  <c r="AR94" i="1"/>
  <c r="S99" i="1"/>
  <c r="R99" i="1"/>
  <c r="CE131" i="1"/>
  <c r="N138" i="1"/>
  <c r="R138" i="1"/>
  <c r="AS151" i="1"/>
  <c r="AR151" i="1"/>
  <c r="R6" i="1"/>
  <c r="AR18" i="1"/>
  <c r="CE30" i="1"/>
  <c r="N35" i="1"/>
  <c r="S35" i="1"/>
  <c r="CD35" i="1"/>
  <c r="Q38" i="1"/>
  <c r="O38" i="1"/>
  <c r="P38" i="1"/>
  <c r="AY41" i="1"/>
  <c r="CE39" i="1"/>
  <c r="AY55" i="1"/>
  <c r="AY57" i="1"/>
  <c r="CE55" i="1"/>
  <c r="CD55" i="1"/>
  <c r="R56" i="1"/>
  <c r="AY77" i="1"/>
  <c r="CD75" i="1"/>
  <c r="CE75" i="1"/>
  <c r="AR76" i="1"/>
  <c r="O87" i="1"/>
  <c r="P87" i="1"/>
  <c r="BT87" i="1"/>
  <c r="Q87" i="1"/>
  <c r="S88" i="1"/>
  <c r="R88" i="1"/>
  <c r="N88" i="1"/>
  <c r="Q96" i="1"/>
  <c r="AY100" i="1"/>
  <c r="CE98" i="1"/>
  <c r="CD98" i="1"/>
  <c r="L99" i="1"/>
  <c r="N99" i="1"/>
  <c r="M99" i="1"/>
  <c r="O99" i="1"/>
  <c r="P99" i="1"/>
  <c r="BT99" i="1"/>
  <c r="Q100" i="1"/>
  <c r="CD100" i="1"/>
  <c r="CE100" i="1"/>
  <c r="Q125" i="1"/>
  <c r="CE125" i="1"/>
  <c r="O125" i="1"/>
  <c r="P125" i="1"/>
  <c r="BT125" i="1"/>
  <c r="L18" i="1"/>
  <c r="N18" i="1"/>
  <c r="L21" i="1"/>
  <c r="N21" i="1"/>
  <c r="AS24" i="1"/>
  <c r="G27" i="1"/>
  <c r="R27" i="1"/>
  <c r="S56" i="1"/>
  <c r="Q88" i="1"/>
  <c r="AS90" i="1"/>
  <c r="AZ92" i="1"/>
  <c r="BB92" i="1"/>
  <c r="CF92" i="1"/>
  <c r="AR90" i="1"/>
  <c r="BA92" i="1"/>
  <c r="BC92" i="1"/>
  <c r="CI92" i="1"/>
  <c r="L96" i="1"/>
  <c r="N96" i="1"/>
  <c r="M96" i="1"/>
  <c r="O96" i="1"/>
  <c r="P96" i="1"/>
  <c r="BT96" i="1"/>
  <c r="Q124" i="1"/>
  <c r="Q149" i="1"/>
  <c r="O149" i="1"/>
  <c r="P149" i="1"/>
  <c r="BT149" i="1"/>
  <c r="CE149" i="1"/>
  <c r="CD37" i="1"/>
  <c r="R77" i="1"/>
  <c r="S77" i="1"/>
  <c r="CE79" i="1"/>
  <c r="CD79" i="1"/>
  <c r="AS87" i="1"/>
  <c r="R89" i="1"/>
  <c r="CD91" i="1"/>
  <c r="CE91" i="1"/>
  <c r="R97" i="1"/>
  <c r="S98" i="1"/>
  <c r="M101" i="1"/>
  <c r="O101" i="1"/>
  <c r="P101" i="1"/>
  <c r="BT101" i="1"/>
  <c r="L101" i="1"/>
  <c r="N101" i="1"/>
  <c r="CD101" i="1"/>
  <c r="CE101" i="1"/>
  <c r="AR131" i="1"/>
  <c r="AS140" i="1"/>
  <c r="AR140" i="1"/>
  <c r="BA142" i="1"/>
  <c r="CD56" i="1"/>
  <c r="AR79" i="1"/>
  <c r="R90" i="1"/>
  <c r="S90" i="1"/>
  <c r="R91" i="1"/>
  <c r="N91" i="1"/>
  <c r="L95" i="1"/>
  <c r="N95" i="1"/>
  <c r="AY98" i="1"/>
  <c r="CE96" i="1"/>
  <c r="AY127" i="1"/>
  <c r="AR126" i="1"/>
  <c r="AS126" i="1"/>
  <c r="S158" i="1"/>
  <c r="R158" i="1"/>
  <c r="N158" i="1"/>
  <c r="AS61" i="1"/>
  <c r="AR61" i="1"/>
  <c r="AS78" i="1"/>
  <c r="AR78" i="1"/>
  <c r="Q90" i="1"/>
  <c r="AS100" i="1"/>
  <c r="AR100" i="1"/>
  <c r="CA124" i="1"/>
  <c r="AY126" i="1"/>
  <c r="M133" i="1"/>
  <c r="O133" i="1"/>
  <c r="P133" i="1"/>
  <c r="L133" i="1"/>
  <c r="N133" i="1"/>
  <c r="N137" i="1"/>
  <c r="S137" i="1"/>
  <c r="Q157" i="1"/>
  <c r="O157" i="1"/>
  <c r="N74" i="1"/>
  <c r="N84" i="1"/>
  <c r="AR96" i="1"/>
  <c r="AR99" i="1"/>
  <c r="Q101" i="1"/>
  <c r="S126" i="1"/>
  <c r="R126" i="1"/>
  <c r="S127" i="1"/>
  <c r="M135" i="1"/>
  <c r="O135" i="1"/>
  <c r="P135" i="1"/>
  <c r="L135" i="1"/>
  <c r="N135" i="1"/>
  <c r="O148" i="1"/>
  <c r="P148" i="1"/>
  <c r="BT148" i="1"/>
  <c r="S151" i="1"/>
  <c r="N151" i="1"/>
  <c r="R151" i="1"/>
  <c r="AR155" i="1"/>
  <c r="AS155" i="1"/>
  <c r="R80" i="1"/>
  <c r="Q89" i="1"/>
  <c r="O89" i="1"/>
  <c r="P89" i="1"/>
  <c r="BT89" i="1"/>
  <c r="S128" i="1"/>
  <c r="AS130" i="1"/>
  <c r="AR130" i="1"/>
  <c r="BU148" i="1"/>
  <c r="AY155" i="1"/>
  <c r="S80" i="1"/>
  <c r="R84" i="1"/>
  <c r="M94" i="1"/>
  <c r="O94" i="1"/>
  <c r="P94" i="1"/>
  <c r="L94" i="1"/>
  <c r="N94" i="1"/>
  <c r="R95" i="1"/>
  <c r="S95" i="1"/>
  <c r="CE99" i="1"/>
  <c r="R100" i="1"/>
  <c r="M123" i="1"/>
  <c r="O123" i="1"/>
  <c r="P123" i="1"/>
  <c r="L123" i="1"/>
  <c r="N123" i="1"/>
  <c r="AS124" i="1"/>
  <c r="AR124" i="1"/>
  <c r="AS127" i="1"/>
  <c r="AR127" i="1"/>
  <c r="AS129" i="1"/>
  <c r="AR129" i="1"/>
  <c r="AR86" i="1"/>
  <c r="AS86" i="1"/>
  <c r="AY99" i="1"/>
  <c r="S123" i="1"/>
  <c r="AS131" i="1"/>
  <c r="Q135" i="1"/>
  <c r="AR136" i="1"/>
  <c r="AS136" i="1"/>
  <c r="AR141" i="1"/>
  <c r="AS141" i="1"/>
  <c r="AR154" i="1"/>
  <c r="AS154" i="1"/>
  <c r="R86" i="1"/>
  <c r="CE87" i="1"/>
  <c r="S129" i="1"/>
  <c r="AY131" i="1"/>
  <c r="CD129" i="1"/>
  <c r="N130" i="1"/>
  <c r="AR133" i="1"/>
  <c r="AS135" i="1"/>
  <c r="S136" i="1"/>
  <c r="R136" i="1"/>
  <c r="Q138" i="1"/>
  <c r="Q141" i="1"/>
  <c r="O141" i="1"/>
  <c r="P141" i="1"/>
  <c r="BU151" i="1"/>
  <c r="S154" i="1"/>
  <c r="N154" i="1"/>
  <c r="AS156" i="1"/>
  <c r="AR156" i="1"/>
  <c r="AR158" i="1"/>
  <c r="AS158" i="1"/>
  <c r="AS128" i="1"/>
  <c r="R130" i="1"/>
  <c r="N140" i="1"/>
  <c r="O147" i="1"/>
  <c r="P147" i="1"/>
  <c r="BT147" i="1"/>
  <c r="AR149" i="1"/>
  <c r="R125" i="1"/>
  <c r="CE127" i="1"/>
  <c r="CD127" i="1"/>
  <c r="M129" i="1"/>
  <c r="O129" i="1"/>
  <c r="P129" i="1"/>
  <c r="BT129" i="1"/>
  <c r="L129" i="1"/>
  <c r="N129" i="1"/>
  <c r="CD131" i="1"/>
  <c r="S131" i="1"/>
  <c r="M134" i="1"/>
  <c r="O134" i="1"/>
  <c r="P134" i="1"/>
  <c r="L134" i="1"/>
  <c r="N134" i="1"/>
  <c r="CD148" i="1"/>
  <c r="N150" i="1"/>
  <c r="R150" i="1"/>
  <c r="M131" i="1"/>
  <c r="O131" i="1"/>
  <c r="P131" i="1"/>
  <c r="BT131" i="1"/>
  <c r="BQ131" i="1"/>
  <c r="R145" i="1"/>
  <c r="AS150" i="1"/>
  <c r="Q158" i="1"/>
  <c r="O159" i="1"/>
  <c r="P159" i="1"/>
  <c r="BT159" i="1"/>
  <c r="Q159" i="1"/>
  <c r="AR144" i="1"/>
  <c r="AR146" i="1"/>
  <c r="CE147" i="1"/>
  <c r="AY149" i="1"/>
  <c r="AS148" i="1"/>
  <c r="S157" i="1"/>
  <c r="AR138" i="1"/>
  <c r="AR148" i="1"/>
  <c r="AR153" i="1"/>
  <c r="CE155" i="1"/>
  <c r="CD155" i="1"/>
  <c r="Q156" i="1"/>
  <c r="AX158" i="1"/>
  <c r="BU146" i="1"/>
  <c r="AX151" i="1"/>
  <c r="AS157" i="1"/>
  <c r="N143" i="1"/>
  <c r="R144" i="1"/>
  <c r="R146" i="1"/>
  <c r="N147" i="1"/>
  <c r="N159" i="1"/>
  <c r="AZ160" i="1"/>
  <c r="BA62" i="1"/>
  <c r="BC62" i="1"/>
  <c r="CI62" i="1"/>
  <c r="BA42" i="1"/>
  <c r="CK62" i="1"/>
  <c r="CJ62" i="1"/>
  <c r="CK92" i="1"/>
  <c r="CJ92" i="1"/>
  <c r="CM92" i="1"/>
  <c r="CN92" i="1"/>
  <c r="CO92" i="1"/>
  <c r="CG92" i="1"/>
  <c r="CH92" i="1"/>
  <c r="CD140" i="1"/>
  <c r="AY142" i="1"/>
  <c r="CE157" i="1"/>
  <c r="AY160" i="1"/>
  <c r="AZ161" i="1"/>
  <c r="BA102" i="1"/>
  <c r="BC102" i="1"/>
  <c r="CI102" i="1"/>
  <c r="BA82" i="1"/>
  <c r="BC82" i="1"/>
  <c r="CI82" i="1"/>
  <c r="BA32" i="1"/>
  <c r="BC32" i="1"/>
  <c r="CI32" i="1"/>
  <c r="AZ82" i="1"/>
  <c r="BB82" i="1"/>
  <c r="CF82" i="1"/>
  <c r="BA160" i="1"/>
  <c r="AZ142" i="1"/>
  <c r="BA161" i="1"/>
  <c r="AZ102" i="1"/>
  <c r="BB102" i="1"/>
  <c r="CF102" i="1"/>
  <c r="BA12" i="1"/>
  <c r="BC12" i="1"/>
  <c r="CI12" i="1"/>
  <c r="BA132" i="1"/>
  <c r="BC132" i="1"/>
  <c r="CI132" i="1"/>
  <c r="BC42" i="1"/>
  <c r="CI42" i="1"/>
  <c r="CD150" i="1"/>
  <c r="AY152" i="1"/>
  <c r="AZ12" i="1"/>
  <c r="BB12" i="1"/>
  <c r="CF12" i="1"/>
  <c r="AY161" i="1"/>
  <c r="BA22" i="1"/>
  <c r="BC22" i="1"/>
  <c r="CI22" i="1"/>
  <c r="AZ22" i="1"/>
  <c r="BB22" i="1"/>
  <c r="CF22" i="1"/>
  <c r="CM42" i="1"/>
  <c r="CN42" i="1"/>
  <c r="CO42" i="1"/>
  <c r="CH42" i="1"/>
  <c r="CG42" i="1"/>
  <c r="AZ132" i="1"/>
  <c r="BB132" i="1"/>
  <c r="CF132" i="1"/>
  <c r="AZ152" i="1"/>
  <c r="AZ62" i="1"/>
  <c r="BB62" i="1"/>
  <c r="CF62" i="1"/>
  <c r="AZ32" i="1"/>
  <c r="BB32" i="1"/>
  <c r="CF32" i="1"/>
  <c r="BA152" i="1"/>
  <c r="AY35" i="1"/>
  <c r="CD145" i="1"/>
  <c r="CE150" i="1"/>
  <c r="CD138" i="1"/>
  <c r="AY157" i="1"/>
  <c r="CD157" i="1"/>
  <c r="BE158" i="1"/>
  <c r="CE140" i="1"/>
  <c r="BA39" i="1"/>
  <c r="BC39" i="1"/>
  <c r="AZ147" i="1"/>
  <c r="BN98" i="1"/>
  <c r="E34" i="113"/>
  <c r="E32" i="113"/>
  <c r="AY150" i="1"/>
  <c r="AY151" i="1"/>
  <c r="L63" i="107"/>
  <c r="AZ10" i="1"/>
  <c r="BB10" i="1"/>
  <c r="BA37" i="1"/>
  <c r="BC37" i="1"/>
  <c r="N18" i="109"/>
  <c r="N134" i="109"/>
  <c r="L99" i="109"/>
  <c r="N99" i="109"/>
  <c r="L62" i="108"/>
  <c r="N135" i="108"/>
  <c r="L82" i="109"/>
  <c r="L80" i="109"/>
  <c r="N80" i="109"/>
  <c r="L80" i="107"/>
  <c r="N80" i="107"/>
  <c r="L136" i="107"/>
  <c r="N136" i="107"/>
  <c r="L134" i="107"/>
  <c r="N134" i="107"/>
  <c r="N137" i="107"/>
  <c r="L126" i="109"/>
  <c r="N126" i="109"/>
  <c r="L92" i="109"/>
  <c r="L127" i="109"/>
  <c r="L18" i="108"/>
  <c r="N19" i="108"/>
  <c r="N143" i="108"/>
  <c r="N80" i="108"/>
  <c r="L65" i="107"/>
  <c r="L62" i="107"/>
  <c r="N146" i="107"/>
  <c r="N36" i="107"/>
  <c r="L98" i="107"/>
  <c r="N35" i="107"/>
  <c r="L82" i="107"/>
  <c r="N82" i="107"/>
  <c r="N13" i="8"/>
  <c r="N5" i="8"/>
  <c r="N9" i="8"/>
  <c r="N27" i="8"/>
  <c r="N11" i="8"/>
  <c r="N23" i="8"/>
  <c r="N21" i="8"/>
  <c r="N7" i="8"/>
  <c r="BY150" i="1"/>
  <c r="BZ150" i="1"/>
  <c r="CB150" i="1"/>
  <c r="AY140" i="1"/>
  <c r="BA95" i="1"/>
  <c r="BA130" i="1"/>
  <c r="BC130" i="1"/>
  <c r="AY96" i="1"/>
  <c r="BA135" i="1"/>
  <c r="CE95" i="1"/>
  <c r="BA89" i="1"/>
  <c r="BC89" i="1"/>
  <c r="AY95" i="1"/>
  <c r="BN95" i="1"/>
  <c r="BU115" i="1"/>
  <c r="BV115" i="1"/>
  <c r="CF115" i="1"/>
  <c r="C33" i="113"/>
  <c r="E24" i="113"/>
  <c r="E33" i="113"/>
  <c r="N3" i="8"/>
  <c r="C29" i="113"/>
  <c r="E20" i="113"/>
  <c r="E29" i="113"/>
  <c r="N25" i="8"/>
  <c r="N15" i="8"/>
  <c r="C31" i="113"/>
  <c r="E22" i="113"/>
  <c r="E31" i="113"/>
  <c r="AZ89" i="1"/>
  <c r="BB89" i="1"/>
  <c r="AZ98" i="1"/>
  <c r="BB98" i="1"/>
  <c r="AZ126" i="1"/>
  <c r="BB126" i="1"/>
  <c r="AZ100" i="1"/>
  <c r="BB100" i="1"/>
  <c r="AZ75" i="1"/>
  <c r="BB75" i="1"/>
  <c r="AZ17" i="1"/>
  <c r="BB17" i="1"/>
  <c r="BA38" i="1"/>
  <c r="BC38" i="1"/>
  <c r="AZ28" i="1"/>
  <c r="BB28" i="1"/>
  <c r="BK77" i="1"/>
  <c r="BQ77" i="1"/>
  <c r="BQ99" i="1"/>
  <c r="BH99" i="1"/>
  <c r="BK99" i="1"/>
  <c r="BK158" i="1"/>
  <c r="BQ158" i="1"/>
  <c r="BK129" i="1"/>
  <c r="BH129" i="1"/>
  <c r="BQ78" i="1"/>
  <c r="BK78" i="1"/>
  <c r="BK76" i="1"/>
  <c r="BQ76" i="1"/>
  <c r="BK11" i="1"/>
  <c r="BQ11" i="1"/>
  <c r="BT135" i="1"/>
  <c r="BK135" i="1"/>
  <c r="BU135" i="1"/>
  <c r="BT138" i="1"/>
  <c r="BK138" i="1"/>
  <c r="BU138" i="1"/>
  <c r="BQ80" i="1"/>
  <c r="BK80" i="1"/>
  <c r="BA91" i="1"/>
  <c r="BC91" i="1"/>
  <c r="AZ135" i="1"/>
  <c r="BG158" i="1"/>
  <c r="BH158" i="1"/>
  <c r="BK125" i="1"/>
  <c r="BH125" i="1"/>
  <c r="BQ125" i="1"/>
  <c r="BQ156" i="1"/>
  <c r="BK156" i="1"/>
  <c r="BQ9" i="1"/>
  <c r="BK9" i="1"/>
  <c r="BQ117" i="1"/>
  <c r="BK117" i="1"/>
  <c r="BH117" i="1"/>
  <c r="BH130" i="1"/>
  <c r="BK130" i="1"/>
  <c r="BT137" i="1"/>
  <c r="BK137" i="1"/>
  <c r="BU137" i="1"/>
  <c r="CE159" i="1"/>
  <c r="AZ88" i="1"/>
  <c r="BB88" i="1"/>
  <c r="BQ89" i="1"/>
  <c r="BK89" i="1"/>
  <c r="BH89" i="1"/>
  <c r="BA18" i="1"/>
  <c r="BC18" i="1"/>
  <c r="AZ81" i="1"/>
  <c r="BB81" i="1"/>
  <c r="BH128" i="1"/>
  <c r="BK128" i="1"/>
  <c r="BT136" i="1"/>
  <c r="BK136" i="1"/>
  <c r="BU136" i="1"/>
  <c r="BT141" i="1"/>
  <c r="BK141" i="1"/>
  <c r="BU141" i="1"/>
  <c r="BQ90" i="1"/>
  <c r="BH90" i="1"/>
  <c r="BK90" i="1"/>
  <c r="BK87" i="1"/>
  <c r="BH87" i="1"/>
  <c r="BQ87" i="1"/>
  <c r="BK5" i="1"/>
  <c r="BQ5" i="1"/>
  <c r="BK101" i="1"/>
  <c r="BQ101" i="1"/>
  <c r="BH101" i="1"/>
  <c r="BK35" i="1"/>
  <c r="BH35" i="1"/>
  <c r="BH97" i="1"/>
  <c r="BK97" i="1"/>
  <c r="BQ97" i="1"/>
  <c r="BH131" i="1"/>
  <c r="BK131" i="1"/>
  <c r="AZ90" i="1"/>
  <c r="BB90" i="1"/>
  <c r="BH85" i="1"/>
  <c r="BQ85" i="1"/>
  <c r="BK85" i="1"/>
  <c r="BA41" i="1"/>
  <c r="BC41" i="1"/>
  <c r="CE156" i="1"/>
  <c r="BK159" i="1"/>
  <c r="BQ159" i="1"/>
  <c r="BK88" i="1"/>
  <c r="BQ88" i="1"/>
  <c r="BH88" i="1"/>
  <c r="BH100" i="1"/>
  <c r="BK100" i="1"/>
  <c r="BQ100" i="1"/>
  <c r="BH91" i="1"/>
  <c r="BK91" i="1"/>
  <c r="BQ91" i="1"/>
  <c r="BK98" i="1"/>
  <c r="BQ98" i="1"/>
  <c r="BH98" i="1"/>
  <c r="BK127" i="1"/>
  <c r="BQ127" i="1"/>
  <c r="BH127" i="1"/>
  <c r="BQ129" i="1"/>
  <c r="BA127" i="1"/>
  <c r="BC127" i="1"/>
  <c r="BA56" i="1"/>
  <c r="BC56" i="1"/>
  <c r="BK81" i="1"/>
  <c r="BQ81" i="1"/>
  <c r="BK75" i="1"/>
  <c r="BQ75" i="1"/>
  <c r="BH126" i="1"/>
  <c r="BK126" i="1"/>
  <c r="BQ126" i="1"/>
  <c r="BQ79" i="1"/>
  <c r="BK79" i="1"/>
  <c r="AY147" i="1"/>
  <c r="AZ150" i="1"/>
  <c r="BQ96" i="1"/>
  <c r="BH96" i="1"/>
  <c r="BK96" i="1"/>
  <c r="AZ79" i="1"/>
  <c r="BB79" i="1"/>
  <c r="AZ20" i="1"/>
  <c r="BB20" i="1"/>
  <c r="BH86" i="1"/>
  <c r="BK86" i="1"/>
  <c r="BQ86" i="1"/>
  <c r="BH95" i="1"/>
  <c r="BK95" i="1"/>
  <c r="BQ95" i="1"/>
  <c r="BQ128" i="1"/>
  <c r="BQ130" i="1"/>
  <c r="BQ35" i="1"/>
  <c r="N83" i="109"/>
  <c r="L100" i="109"/>
  <c r="N144" i="109"/>
  <c r="N146" i="109"/>
  <c r="N90" i="109"/>
  <c r="N35" i="109"/>
  <c r="N98" i="109"/>
  <c r="L20" i="109"/>
  <c r="N136" i="109"/>
  <c r="N82" i="109"/>
  <c r="N10" i="109"/>
  <c r="N125" i="109"/>
  <c r="L101" i="109"/>
  <c r="N127" i="109"/>
  <c r="N8" i="109"/>
  <c r="N9" i="109"/>
  <c r="N17" i="109"/>
  <c r="N11" i="109"/>
  <c r="N19" i="109"/>
  <c r="N81" i="109"/>
  <c r="N137" i="109"/>
  <c r="L82" i="108"/>
  <c r="N82" i="108"/>
  <c r="N27" i="108"/>
  <c r="N81" i="108"/>
  <c r="N11" i="108"/>
  <c r="N26" i="108"/>
  <c r="L100" i="107"/>
  <c r="N155" i="107"/>
  <c r="N38" i="107"/>
  <c r="L53" i="107"/>
  <c r="L20" i="107"/>
  <c r="N20" i="107"/>
  <c r="N145" i="108"/>
  <c r="N134" i="108"/>
  <c r="L101" i="108"/>
  <c r="L83" i="108"/>
  <c r="N10" i="108"/>
  <c r="N36" i="108"/>
  <c r="L128" i="108"/>
  <c r="N54" i="108"/>
  <c r="L63" i="108"/>
  <c r="N100" i="108"/>
  <c r="L98" i="108"/>
  <c r="N9" i="108"/>
  <c r="L53" i="108"/>
  <c r="N62" i="108"/>
  <c r="N126" i="108"/>
  <c r="L127" i="108"/>
  <c r="N8" i="108"/>
  <c r="N90" i="108"/>
  <c r="N91" i="108"/>
  <c r="N144" i="108"/>
  <c r="L56" i="108"/>
  <c r="N55" i="108"/>
  <c r="N137" i="108"/>
  <c r="L92" i="108"/>
  <c r="N99" i="108"/>
  <c r="N136" i="108"/>
  <c r="N65" i="108"/>
  <c r="N35" i="108"/>
  <c r="N146" i="108"/>
  <c r="N37" i="108"/>
  <c r="N20" i="108"/>
  <c r="L17" i="108"/>
  <c r="N125" i="108"/>
  <c r="N153" i="107"/>
  <c r="N8" i="107"/>
  <c r="N10" i="107"/>
  <c r="L81" i="107"/>
  <c r="N154" i="107"/>
  <c r="N19" i="107"/>
  <c r="N99" i="107"/>
  <c r="L135" i="107"/>
  <c r="L55" i="107"/>
  <c r="L101" i="107"/>
  <c r="N29" i="107"/>
  <c r="N83" i="107"/>
  <c r="L54" i="107"/>
  <c r="N27" i="107"/>
  <c r="L56" i="107"/>
  <c r="N26" i="107"/>
  <c r="N152" i="107"/>
  <c r="N63" i="107"/>
  <c r="N143" i="107"/>
  <c r="N28" i="107"/>
  <c r="L64" i="107"/>
  <c r="BY25" i="1"/>
  <c r="BZ25" i="1"/>
  <c r="CC25" i="1"/>
  <c r="BY31" i="1"/>
  <c r="BZ31" i="1"/>
  <c r="CA31" i="1"/>
  <c r="BW25" i="1"/>
  <c r="BW31" i="1"/>
  <c r="BY27" i="1"/>
  <c r="BZ27" i="1"/>
  <c r="CB27" i="1"/>
  <c r="BW29" i="1"/>
  <c r="BT58" i="1"/>
  <c r="AZ138" i="1"/>
  <c r="AZ56" i="1"/>
  <c r="BB56" i="1"/>
  <c r="AY36" i="1"/>
  <c r="AZ18" i="1"/>
  <c r="BB18" i="1"/>
  <c r="AZ80" i="1"/>
  <c r="BB80" i="1"/>
  <c r="AZ127" i="1"/>
  <c r="BB127" i="1"/>
  <c r="BA61" i="1"/>
  <c r="BC61" i="1"/>
  <c r="BU121" i="1"/>
  <c r="BY121" i="1"/>
  <c r="BZ121" i="1"/>
  <c r="BW28" i="1"/>
  <c r="AZ130" i="1"/>
  <c r="BB130" i="1"/>
  <c r="AZ29" i="1"/>
  <c r="BB29" i="1"/>
  <c r="AZ39" i="1"/>
  <c r="BB39" i="1"/>
  <c r="AZ77" i="1"/>
  <c r="BB77" i="1"/>
  <c r="BA150" i="1"/>
  <c r="AZ101" i="1"/>
  <c r="BB101" i="1"/>
  <c r="AY135" i="1"/>
  <c r="AZ76" i="1"/>
  <c r="BB76" i="1"/>
  <c r="BA136" i="1"/>
  <c r="AZ146" i="1"/>
  <c r="AY139" i="1"/>
  <c r="AZ6" i="1"/>
  <c r="BB6" i="1"/>
  <c r="BU119" i="1"/>
  <c r="BY119" i="1"/>
  <c r="BZ119" i="1"/>
  <c r="AZ99" i="1"/>
  <c r="BB99" i="1"/>
  <c r="AY136" i="1"/>
  <c r="AZ5" i="1"/>
  <c r="BB5" i="1"/>
  <c r="BU116" i="1"/>
  <c r="BW116" i="1"/>
  <c r="CI116" i="1"/>
  <c r="CK116" i="1"/>
  <c r="AZ16" i="1"/>
  <c r="BB16" i="1"/>
  <c r="CD141" i="1"/>
  <c r="BA88" i="1"/>
  <c r="BC88" i="1"/>
  <c r="BA10" i="1"/>
  <c r="BC10" i="1"/>
  <c r="BA40" i="1"/>
  <c r="BC40" i="1"/>
  <c r="BW150" i="1"/>
  <c r="AZ11" i="1"/>
  <c r="BB11" i="1"/>
  <c r="AY156" i="1"/>
  <c r="AZ26" i="1"/>
  <c r="BB26" i="1"/>
  <c r="AZ97" i="1"/>
  <c r="BB97" i="1"/>
  <c r="BA147" i="1"/>
  <c r="BA27" i="1"/>
  <c r="BC27" i="1"/>
  <c r="CI27" i="1"/>
  <c r="BV27" i="1"/>
  <c r="CD137" i="1"/>
  <c r="P155" i="1"/>
  <c r="BT155" i="1"/>
  <c r="BA156" i="1"/>
  <c r="BA81" i="1"/>
  <c r="BC81" i="1"/>
  <c r="BA96" i="1"/>
  <c r="AZ59" i="1"/>
  <c r="BB59" i="1"/>
  <c r="BA17" i="1"/>
  <c r="BC17" i="1"/>
  <c r="BG156" i="1"/>
  <c r="BH156" i="1"/>
  <c r="BE156" i="1"/>
  <c r="CD146" i="1"/>
  <c r="CE146" i="1"/>
  <c r="BY149" i="1"/>
  <c r="BZ149" i="1"/>
  <c r="BV149" i="1"/>
  <c r="BW149" i="1"/>
  <c r="CA143" i="1"/>
  <c r="AY145" i="1"/>
  <c r="BA58" i="1"/>
  <c r="BC58" i="1"/>
  <c r="AZ31" i="1"/>
  <c r="BB31" i="1"/>
  <c r="CF31" i="1"/>
  <c r="BA30" i="1"/>
  <c r="BC30" i="1"/>
  <c r="AZ55" i="1"/>
  <c r="BB55" i="1"/>
  <c r="CE136" i="1"/>
  <c r="BW145" i="1"/>
  <c r="BY26" i="1"/>
  <c r="BZ26" i="1"/>
  <c r="CA26" i="1"/>
  <c r="BV147" i="1"/>
  <c r="BW147" i="1"/>
  <c r="BY147" i="1"/>
  <c r="BZ147" i="1"/>
  <c r="AZ149" i="1"/>
  <c r="BB149" i="1"/>
  <c r="AZ151" i="1"/>
  <c r="BA77" i="1"/>
  <c r="BC77" i="1"/>
  <c r="BA141" i="1"/>
  <c r="BA11" i="1"/>
  <c r="BC11" i="1"/>
  <c r="BU120" i="1"/>
  <c r="AZ129" i="1"/>
  <c r="BB129" i="1"/>
  <c r="AZ157" i="1"/>
  <c r="BB157" i="1"/>
  <c r="AZ141" i="1"/>
  <c r="BA126" i="1"/>
  <c r="BC126" i="1"/>
  <c r="BA157" i="1"/>
  <c r="BC157" i="1"/>
  <c r="BA101" i="1"/>
  <c r="BC101" i="1"/>
  <c r="AZ91" i="1"/>
  <c r="BB91" i="1"/>
  <c r="BY145" i="1"/>
  <c r="BZ145" i="1"/>
  <c r="CA145" i="1"/>
  <c r="BA35" i="1"/>
  <c r="BV28" i="1"/>
  <c r="BA55" i="1"/>
  <c r="BC55" i="1"/>
  <c r="BA7" i="1"/>
  <c r="BC7" i="1"/>
  <c r="BA21" i="1"/>
  <c r="BC21" i="1"/>
  <c r="CD95" i="1"/>
  <c r="BV26" i="1"/>
  <c r="CE139" i="1"/>
  <c r="AY141" i="1"/>
  <c r="CD139" i="1"/>
  <c r="CA144" i="1"/>
  <c r="AY146" i="1"/>
  <c r="BE155" i="1"/>
  <c r="AY138" i="1"/>
  <c r="BA31" i="1"/>
  <c r="BC31" i="1"/>
  <c r="AZ36" i="1"/>
  <c r="AZ21" i="1"/>
  <c r="BB21" i="1"/>
  <c r="AZ30" i="1"/>
  <c r="BB30" i="1"/>
  <c r="AY137" i="1"/>
  <c r="CD135" i="1"/>
  <c r="E21" i="113"/>
  <c r="E30" i="113"/>
  <c r="C30" i="113"/>
  <c r="N17" i="8"/>
  <c r="N19" i="8"/>
  <c r="BT15" i="1"/>
  <c r="BT40" i="1"/>
  <c r="BN100" i="1"/>
  <c r="BT61" i="1"/>
  <c r="BT8" i="1"/>
  <c r="BT10" i="1"/>
  <c r="BE157" i="1"/>
  <c r="BG157" i="1"/>
  <c r="BH157" i="1"/>
  <c r="AZ25" i="1"/>
  <c r="BB25" i="1"/>
  <c r="CF25" i="1"/>
  <c r="BY148" i="1"/>
  <c r="BZ148" i="1"/>
  <c r="BW148" i="1"/>
  <c r="BV148" i="1"/>
  <c r="BN101" i="1"/>
  <c r="BT41" i="1"/>
  <c r="AZ136" i="1"/>
  <c r="AZ86" i="1"/>
  <c r="BB86" i="1"/>
  <c r="BT16" i="1"/>
  <c r="BA138" i="1"/>
  <c r="BA137" i="1"/>
  <c r="BT18" i="1"/>
  <c r="AZ9" i="1"/>
  <c r="BB9" i="1"/>
  <c r="BA6" i="1"/>
  <c r="BC6" i="1"/>
  <c r="AZ38" i="1"/>
  <c r="BB38" i="1"/>
  <c r="AZ27" i="1"/>
  <c r="BB27" i="1"/>
  <c r="AZ139" i="1"/>
  <c r="AZ148" i="1"/>
  <c r="BB148" i="1"/>
  <c r="BA80" i="1"/>
  <c r="BC80" i="1"/>
  <c r="BN99" i="1"/>
  <c r="BA75" i="1"/>
  <c r="BC75" i="1"/>
  <c r="AZ61" i="1"/>
  <c r="BB61" i="1"/>
  <c r="S29" i="1"/>
  <c r="N29" i="1"/>
  <c r="CD29" i="1"/>
  <c r="AZ140" i="1"/>
  <c r="AZ60" i="1"/>
  <c r="BB60" i="1"/>
  <c r="BA29" i="1"/>
  <c r="BC29" i="1"/>
  <c r="AZ15" i="1"/>
  <c r="BB15" i="1"/>
  <c r="AZ125" i="1"/>
  <c r="BB125" i="1"/>
  <c r="BA85" i="1"/>
  <c r="BC85" i="1"/>
  <c r="AZ35" i="1"/>
  <c r="BA25" i="1"/>
  <c r="BC25" i="1"/>
  <c r="BA57" i="1"/>
  <c r="BC57" i="1"/>
  <c r="BA140" i="1"/>
  <c r="BA148" i="1"/>
  <c r="BC148" i="1"/>
  <c r="BA158" i="1"/>
  <c r="AZ131" i="1"/>
  <c r="BB131" i="1"/>
  <c r="BA98" i="1"/>
  <c r="BC98" i="1"/>
  <c r="AZ145" i="1"/>
  <c r="BA20" i="1"/>
  <c r="BC20" i="1"/>
  <c r="BA19" i="1"/>
  <c r="BC19" i="1"/>
  <c r="BT36" i="1"/>
  <c r="BA100" i="1"/>
  <c r="BC100" i="1"/>
  <c r="AZ57" i="1"/>
  <c r="BB57" i="1"/>
  <c r="BT37" i="1"/>
  <c r="BA16" i="1"/>
  <c r="BC16" i="1"/>
  <c r="R29" i="1"/>
  <c r="BA15" i="1"/>
  <c r="BC15" i="1"/>
  <c r="BA125" i="1"/>
  <c r="BC125" i="1"/>
  <c r="AZ85" i="1"/>
  <c r="BB85" i="1"/>
  <c r="BA76" i="1"/>
  <c r="BC76" i="1"/>
  <c r="BA139" i="1"/>
  <c r="AZ19" i="1"/>
  <c r="BB19" i="1"/>
  <c r="BY139" i="1"/>
  <c r="BZ139" i="1"/>
  <c r="BW139" i="1"/>
  <c r="BV139" i="1"/>
  <c r="BT21" i="1"/>
  <c r="BT17" i="1"/>
  <c r="BA28" i="1"/>
  <c r="BC28" i="1"/>
  <c r="BY146" i="1"/>
  <c r="BZ146" i="1"/>
  <c r="BW146" i="1"/>
  <c r="BV146" i="1"/>
  <c r="P157" i="1"/>
  <c r="BT157" i="1"/>
  <c r="BA86" i="1"/>
  <c r="BC86" i="1"/>
  <c r="BA60" i="1"/>
  <c r="BC60" i="1"/>
  <c r="AZ158" i="1"/>
  <c r="AZ137" i="1"/>
  <c r="BA129" i="1"/>
  <c r="BC129" i="1"/>
  <c r="BA90" i="1"/>
  <c r="BC90" i="1"/>
  <c r="BT55" i="1"/>
  <c r="BT38" i="1"/>
  <c r="BT7" i="1"/>
  <c r="BT57" i="1"/>
  <c r="BA99" i="1"/>
  <c r="BC99" i="1"/>
  <c r="CC29" i="1"/>
  <c r="CB29" i="1"/>
  <c r="CA29" i="1"/>
  <c r="BT20" i="1"/>
  <c r="BA8" i="1"/>
  <c r="BC8" i="1"/>
  <c r="CD158" i="1"/>
  <c r="CE158" i="1"/>
  <c r="BT56" i="1"/>
  <c r="BT60" i="1"/>
  <c r="CE151" i="1"/>
  <c r="CD151" i="1"/>
  <c r="BN97" i="1"/>
  <c r="BW151" i="1"/>
  <c r="BV151" i="1"/>
  <c r="BY151" i="1"/>
  <c r="BZ151" i="1"/>
  <c r="AZ155" i="1"/>
  <c r="BB155" i="1"/>
  <c r="BA59" i="1"/>
  <c r="BC59" i="1"/>
  <c r="AZ8" i="1"/>
  <c r="BB8" i="1"/>
  <c r="BA131" i="1"/>
  <c r="BC131" i="1"/>
  <c r="AY158" i="1"/>
  <c r="BA151" i="1"/>
  <c r="BA159" i="1"/>
  <c r="AY159" i="1"/>
  <c r="BA78" i="1"/>
  <c r="BC78" i="1"/>
  <c r="BT59" i="1"/>
  <c r="BA79" i="1"/>
  <c r="BC79" i="1"/>
  <c r="AZ87" i="1"/>
  <c r="BB87" i="1"/>
  <c r="BA5" i="1"/>
  <c r="BC5" i="1"/>
  <c r="AZ95" i="1"/>
  <c r="AZ7" i="1"/>
  <c r="BB7" i="1"/>
  <c r="BT39" i="1"/>
  <c r="BV29" i="1"/>
  <c r="N28" i="1"/>
  <c r="CD28" i="1"/>
  <c r="S28" i="1"/>
  <c r="BT19" i="1"/>
  <c r="R28" i="1"/>
  <c r="BW30" i="1"/>
  <c r="BV30" i="1"/>
  <c r="BY30" i="1"/>
  <c r="BZ30" i="1"/>
  <c r="BM159" i="1"/>
  <c r="BN159" i="1"/>
  <c r="BG159" i="1"/>
  <c r="BH159" i="1"/>
  <c r="BE159" i="1"/>
  <c r="BV140" i="1"/>
  <c r="BY140" i="1"/>
  <c r="BZ140" i="1"/>
  <c r="BW140" i="1"/>
  <c r="AZ159" i="1"/>
  <c r="BA146" i="1"/>
  <c r="BA145" i="1"/>
  <c r="AZ128" i="1"/>
  <c r="BB128" i="1"/>
  <c r="BN96" i="1"/>
  <c r="BA155" i="1"/>
  <c r="BC155" i="1"/>
  <c r="AZ156" i="1"/>
  <c r="BA128" i="1"/>
  <c r="BC128" i="1"/>
  <c r="BA149" i="1"/>
  <c r="BC149" i="1"/>
  <c r="S27" i="1"/>
  <c r="N27" i="1"/>
  <c r="CD27" i="1"/>
  <c r="BA87" i="1"/>
  <c r="BC87" i="1"/>
  <c r="BA36" i="1"/>
  <c r="AZ41" i="1"/>
  <c r="BB41" i="1"/>
  <c r="O28" i="1"/>
  <c r="P28" i="1"/>
  <c r="BT28" i="1"/>
  <c r="Q28" i="1"/>
  <c r="BA97" i="1"/>
  <c r="BC97" i="1"/>
  <c r="AZ58" i="1"/>
  <c r="BB58" i="1"/>
  <c r="AZ37" i="1"/>
  <c r="BB37" i="1"/>
  <c r="AZ96" i="1"/>
  <c r="BT6" i="1"/>
  <c r="AZ40" i="1"/>
  <c r="BB40" i="1"/>
  <c r="CC28" i="1"/>
  <c r="CB28" i="1"/>
  <c r="CA28" i="1"/>
  <c r="AZ78" i="1"/>
  <c r="BB78" i="1"/>
  <c r="BA26" i="1"/>
  <c r="BC26" i="1"/>
  <c r="CI26" i="1"/>
  <c r="BA9" i="1"/>
  <c r="BC9" i="1"/>
  <c r="CK22" i="1"/>
  <c r="CJ22" i="1"/>
  <c r="CM22" i="1"/>
  <c r="CN22" i="1"/>
  <c r="CO22" i="1"/>
  <c r="CH22" i="1"/>
  <c r="CG22" i="1"/>
  <c r="CK12" i="1"/>
  <c r="CJ12" i="1"/>
  <c r="CK82" i="1"/>
  <c r="CJ82" i="1"/>
  <c r="CH32" i="1"/>
  <c r="CM32" i="1"/>
  <c r="CN32" i="1"/>
  <c r="CO32" i="1"/>
  <c r="CG32" i="1"/>
  <c r="CM102" i="1"/>
  <c r="CN102" i="1"/>
  <c r="CO102" i="1"/>
  <c r="CH102" i="1"/>
  <c r="CG102" i="1"/>
  <c r="CJ102" i="1"/>
  <c r="CK102" i="1"/>
  <c r="CK32" i="1"/>
  <c r="CJ32" i="1"/>
  <c r="CH62" i="1"/>
  <c r="CM62" i="1"/>
  <c r="CN62" i="1"/>
  <c r="CO62" i="1"/>
  <c r="CG62" i="1"/>
  <c r="BB161" i="1"/>
  <c r="CF161" i="1"/>
  <c r="BC161" i="1"/>
  <c r="CI161" i="1"/>
  <c r="CM12" i="1"/>
  <c r="CN12" i="1"/>
  <c r="CO12" i="1"/>
  <c r="CH12" i="1"/>
  <c r="CG12" i="1"/>
  <c r="BC160" i="1"/>
  <c r="CI160" i="1"/>
  <c r="BB160" i="1"/>
  <c r="CF160" i="1"/>
  <c r="BB35" i="1"/>
  <c r="BC35" i="1"/>
  <c r="CM132" i="1"/>
  <c r="CN132" i="1"/>
  <c r="CO132" i="1"/>
  <c r="CH132" i="1"/>
  <c r="CG132" i="1"/>
  <c r="BB152" i="1"/>
  <c r="CF152" i="1"/>
  <c r="BC152" i="1"/>
  <c r="CI152" i="1"/>
  <c r="BB142" i="1"/>
  <c r="CF142" i="1"/>
  <c r="BC142" i="1"/>
  <c r="CI142" i="1"/>
  <c r="CK132" i="1"/>
  <c r="CJ132" i="1"/>
  <c r="CK42" i="1"/>
  <c r="CJ42" i="1"/>
  <c r="CH82" i="1"/>
  <c r="CM82" i="1"/>
  <c r="CN82" i="1"/>
  <c r="CO82" i="1"/>
  <c r="CG82" i="1"/>
  <c r="BU77" i="1"/>
  <c r="BV77" i="1"/>
  <c r="CF77" i="1"/>
  <c r="BW115" i="1"/>
  <c r="CI115" i="1"/>
  <c r="CK115" i="1"/>
  <c r="BB150" i="1"/>
  <c r="CF150" i="1"/>
  <c r="CG150" i="1"/>
  <c r="BB96" i="1"/>
  <c r="BB151" i="1"/>
  <c r="CF151" i="1"/>
  <c r="CH151" i="1"/>
  <c r="BY115" i="1"/>
  <c r="BZ115" i="1"/>
  <c r="CB115" i="1"/>
  <c r="CG115" i="1"/>
  <c r="BC150" i="1"/>
  <c r="CI150" i="1"/>
  <c r="BC151" i="1"/>
  <c r="CI151" i="1"/>
  <c r="CK151" i="1"/>
  <c r="BC96" i="1"/>
  <c r="BC135" i="1"/>
  <c r="CC150" i="1"/>
  <c r="BB147" i="1"/>
  <c r="CF147" i="1"/>
  <c r="CH147" i="1"/>
  <c r="CA150" i="1"/>
  <c r="BB139" i="1"/>
  <c r="CF139" i="1"/>
  <c r="CM139" i="1"/>
  <c r="CN139" i="1"/>
  <c r="CO139" i="1"/>
  <c r="BU79" i="1"/>
  <c r="BV79" i="1"/>
  <c r="CF79" i="1"/>
  <c r="N18" i="108"/>
  <c r="N98" i="107"/>
  <c r="N100" i="107"/>
  <c r="N62" i="107"/>
  <c r="N65" i="107"/>
  <c r="BB95" i="1"/>
  <c r="CI149" i="1"/>
  <c r="CK149" i="1"/>
  <c r="BU117" i="1"/>
  <c r="BY117" i="1"/>
  <c r="BZ117" i="1"/>
  <c r="BC95" i="1"/>
  <c r="BC140" i="1"/>
  <c r="CI140" i="1"/>
  <c r="CK140" i="1"/>
  <c r="BB140" i="1"/>
  <c r="CF140" i="1"/>
  <c r="CM140" i="1"/>
  <c r="CN140" i="1"/>
  <c r="CO140" i="1"/>
  <c r="BB145" i="1"/>
  <c r="CF145" i="1"/>
  <c r="CH145" i="1"/>
  <c r="BB156" i="1"/>
  <c r="BC156" i="1"/>
  <c r="BU98" i="1"/>
  <c r="BW98" i="1"/>
  <c r="CI98" i="1"/>
  <c r="CB145" i="1"/>
  <c r="BC147" i="1"/>
  <c r="CI147" i="1"/>
  <c r="CK147" i="1"/>
  <c r="BC138" i="1"/>
  <c r="BU126" i="1"/>
  <c r="BV126" i="1"/>
  <c r="CF126" i="1"/>
  <c r="BU91" i="1"/>
  <c r="BV91" i="1"/>
  <c r="CF91" i="1"/>
  <c r="BC145" i="1"/>
  <c r="CI145" i="1"/>
  <c r="BC139" i="1"/>
  <c r="CI139" i="1"/>
  <c r="CK139" i="1"/>
  <c r="BC146" i="1"/>
  <c r="CI146" i="1"/>
  <c r="BU35" i="1"/>
  <c r="BW35" i="1"/>
  <c r="BB135" i="1"/>
  <c r="BU158" i="1"/>
  <c r="BV158" i="1"/>
  <c r="BV116" i="1"/>
  <c r="CF116" i="1"/>
  <c r="CH116" i="1"/>
  <c r="BY116" i="1"/>
  <c r="BZ116" i="1"/>
  <c r="CA116" i="1"/>
  <c r="CA25" i="1"/>
  <c r="CF27" i="1"/>
  <c r="CM27" i="1"/>
  <c r="CN27" i="1"/>
  <c r="CO27" i="1"/>
  <c r="BU95" i="1"/>
  <c r="BV95" i="1"/>
  <c r="CB25" i="1"/>
  <c r="CG25" i="1"/>
  <c r="BW136" i="1"/>
  <c r="BY136" i="1"/>
  <c r="BZ136" i="1"/>
  <c r="CC136" i="1"/>
  <c r="BV136" i="1"/>
  <c r="BV141" i="1"/>
  <c r="BW141" i="1"/>
  <c r="BY141" i="1"/>
  <c r="BZ141" i="1"/>
  <c r="CC141" i="1"/>
  <c r="BW138" i="1"/>
  <c r="BV138" i="1"/>
  <c r="BY138" i="1"/>
  <c r="BZ138" i="1"/>
  <c r="CA138" i="1"/>
  <c r="BW135" i="1"/>
  <c r="BV135" i="1"/>
  <c r="BY135" i="1"/>
  <c r="BZ135" i="1"/>
  <c r="CB135" i="1"/>
  <c r="BY137" i="1"/>
  <c r="BZ137" i="1"/>
  <c r="CA137" i="1"/>
  <c r="BV137" i="1"/>
  <c r="BW137" i="1"/>
  <c r="BH19" i="1"/>
  <c r="BK19" i="1"/>
  <c r="BQ19" i="1"/>
  <c r="BK16" i="1"/>
  <c r="BQ16" i="1"/>
  <c r="BH16" i="1"/>
  <c r="BH40" i="1"/>
  <c r="BK40" i="1"/>
  <c r="BQ40" i="1"/>
  <c r="CF29" i="1"/>
  <c r="CG29" i="1"/>
  <c r="BK57" i="1"/>
  <c r="BQ57" i="1"/>
  <c r="BH57" i="1"/>
  <c r="BK38" i="1"/>
  <c r="BH38" i="1"/>
  <c r="BQ38" i="1"/>
  <c r="BQ10" i="1"/>
  <c r="BK10" i="1"/>
  <c r="BH15" i="1"/>
  <c r="BQ15" i="1"/>
  <c r="BK15" i="1"/>
  <c r="BQ155" i="1"/>
  <c r="BK155" i="1"/>
  <c r="BU86" i="1"/>
  <c r="BH56" i="1"/>
  <c r="BQ56" i="1"/>
  <c r="BK56" i="1"/>
  <c r="BH37" i="1"/>
  <c r="BK37" i="1"/>
  <c r="BQ37" i="1"/>
  <c r="BQ6" i="1"/>
  <c r="BK6" i="1"/>
  <c r="BK7" i="1"/>
  <c r="BQ7" i="1"/>
  <c r="BH36" i="1"/>
  <c r="BK36" i="1"/>
  <c r="BQ36" i="1"/>
  <c r="BH55" i="1"/>
  <c r="BQ55" i="1"/>
  <c r="BK55" i="1"/>
  <c r="BK20" i="1"/>
  <c r="BH20" i="1"/>
  <c r="BQ20" i="1"/>
  <c r="BQ157" i="1"/>
  <c r="BK157" i="1"/>
  <c r="BQ21" i="1"/>
  <c r="BH21" i="1"/>
  <c r="BK21" i="1"/>
  <c r="BH39" i="1"/>
  <c r="BK39" i="1"/>
  <c r="BQ39" i="1"/>
  <c r="BB136" i="1"/>
  <c r="CF136" i="1"/>
  <c r="BK41" i="1"/>
  <c r="BH41" i="1"/>
  <c r="BQ41" i="1"/>
  <c r="BQ18" i="1"/>
  <c r="BH18" i="1"/>
  <c r="BK18" i="1"/>
  <c r="BQ8" i="1"/>
  <c r="BK8" i="1"/>
  <c r="BK17" i="1"/>
  <c r="BQ17" i="1"/>
  <c r="BH17" i="1"/>
  <c r="BK61" i="1"/>
  <c r="BH61" i="1"/>
  <c r="BQ61" i="1"/>
  <c r="BQ59" i="1"/>
  <c r="BK59" i="1"/>
  <c r="BH59" i="1"/>
  <c r="BC36" i="1"/>
  <c r="BK60" i="1"/>
  <c r="BH60" i="1"/>
  <c r="BQ60" i="1"/>
  <c r="BC137" i="1"/>
  <c r="BB36" i="1"/>
  <c r="BQ58" i="1"/>
  <c r="BK58" i="1"/>
  <c r="BH58" i="1"/>
  <c r="N100" i="109"/>
  <c r="N101" i="109"/>
  <c r="W14" i="109"/>
  <c r="W15" i="109"/>
  <c r="N20" i="109"/>
  <c r="W16" i="109"/>
  <c r="W15" i="108"/>
  <c r="N53" i="107"/>
  <c r="N98" i="108"/>
  <c r="N83" i="108"/>
  <c r="N128" i="108"/>
  <c r="N53" i="108"/>
  <c r="W14" i="108"/>
  <c r="N63" i="108"/>
  <c r="N101" i="108"/>
  <c r="N17" i="108"/>
  <c r="N56" i="108"/>
  <c r="N127" i="108"/>
  <c r="N54" i="107"/>
  <c r="N81" i="107"/>
  <c r="N64" i="107"/>
  <c r="N135" i="107"/>
  <c r="W16" i="107"/>
  <c r="N101" i="107"/>
  <c r="W14" i="107"/>
  <c r="N56" i="107"/>
  <c r="W15" i="107"/>
  <c r="N55" i="107"/>
  <c r="CC145" i="1"/>
  <c r="CF148" i="1"/>
  <c r="CH148" i="1"/>
  <c r="BW121" i="1"/>
  <c r="CI121" i="1"/>
  <c r="CK121" i="1"/>
  <c r="BW119" i="1"/>
  <c r="CI119" i="1"/>
  <c r="CK119" i="1"/>
  <c r="CI28" i="1"/>
  <c r="CJ28" i="1"/>
  <c r="CC31" i="1"/>
  <c r="CA27" i="1"/>
  <c r="CC27" i="1"/>
  <c r="CJ27" i="1"/>
  <c r="CF28" i="1"/>
  <c r="CG28" i="1"/>
  <c r="CF26" i="1"/>
  <c r="CM26" i="1"/>
  <c r="CN26" i="1"/>
  <c r="CO26" i="1"/>
  <c r="CC26" i="1"/>
  <c r="CJ26" i="1"/>
  <c r="CI29" i="1"/>
  <c r="CK29" i="1"/>
  <c r="CI31" i="1"/>
  <c r="CK31" i="1"/>
  <c r="CI25" i="1"/>
  <c r="CK25" i="1"/>
  <c r="CB31" i="1"/>
  <c r="CG31" i="1"/>
  <c r="CH115" i="1"/>
  <c r="CM115" i="1"/>
  <c r="CN115" i="1"/>
  <c r="CO115" i="1"/>
  <c r="BU131" i="1"/>
  <c r="BY131" i="1"/>
  <c r="BZ131" i="1"/>
  <c r="BV121" i="1"/>
  <c r="CF121" i="1"/>
  <c r="CH121" i="1"/>
  <c r="BB146" i="1"/>
  <c r="CF146" i="1"/>
  <c r="CM146" i="1"/>
  <c r="CN146" i="1"/>
  <c r="CO146" i="1"/>
  <c r="CB26" i="1"/>
  <c r="BV119" i="1"/>
  <c r="CF119" i="1"/>
  <c r="CM119" i="1"/>
  <c r="CN119" i="1"/>
  <c r="CO119" i="1"/>
  <c r="BC136" i="1"/>
  <c r="BU127" i="1"/>
  <c r="BY127" i="1"/>
  <c r="BZ127" i="1"/>
  <c r="BB138" i="1"/>
  <c r="BU78" i="1"/>
  <c r="BV78" i="1"/>
  <c r="CF78" i="1"/>
  <c r="CM78" i="1"/>
  <c r="CN78" i="1"/>
  <c r="CO78" i="1"/>
  <c r="CC121" i="1"/>
  <c r="CB121" i="1"/>
  <c r="CA121" i="1"/>
  <c r="CA147" i="1"/>
  <c r="CC147" i="1"/>
  <c r="CB147" i="1"/>
  <c r="BU90" i="1"/>
  <c r="BW90" i="1"/>
  <c r="CI90" i="1"/>
  <c r="CB149" i="1"/>
  <c r="CA149" i="1"/>
  <c r="CC149" i="1"/>
  <c r="BU89" i="1"/>
  <c r="BW89" i="1"/>
  <c r="CI89" i="1"/>
  <c r="BC141" i="1"/>
  <c r="BB141" i="1"/>
  <c r="BU101" i="1"/>
  <c r="BV101" i="1"/>
  <c r="CF101" i="1"/>
  <c r="BV120" i="1"/>
  <c r="CF120" i="1"/>
  <c r="BY120" i="1"/>
  <c r="BZ120" i="1"/>
  <c r="BW120" i="1"/>
  <c r="CI120" i="1"/>
  <c r="CK120" i="1"/>
  <c r="CF30" i="1"/>
  <c r="CH30" i="1"/>
  <c r="BU97" i="1"/>
  <c r="BY97" i="1"/>
  <c r="BZ97" i="1"/>
  <c r="BB137" i="1"/>
  <c r="BU88" i="1"/>
  <c r="BW88" i="1"/>
  <c r="CI88" i="1"/>
  <c r="BU156" i="1"/>
  <c r="BY156" i="1"/>
  <c r="BZ156" i="1"/>
  <c r="BU81" i="1"/>
  <c r="BW81" i="1"/>
  <c r="CI81" i="1"/>
  <c r="CI148" i="1"/>
  <c r="CK148" i="1"/>
  <c r="BU75" i="1"/>
  <c r="BW75" i="1"/>
  <c r="CI75" i="1"/>
  <c r="CC119" i="1"/>
  <c r="CA119" i="1"/>
  <c r="CB119" i="1"/>
  <c r="CF149" i="1"/>
  <c r="CH149" i="1"/>
  <c r="CK26" i="1"/>
  <c r="BU80" i="1"/>
  <c r="BU76" i="1"/>
  <c r="CB148" i="1"/>
  <c r="CC148" i="1"/>
  <c r="CA148" i="1"/>
  <c r="BU130" i="1"/>
  <c r="CK27" i="1"/>
  <c r="BU159" i="1"/>
  <c r="BC159" i="1"/>
  <c r="BB159" i="1"/>
  <c r="BU87" i="1"/>
  <c r="BU100" i="1"/>
  <c r="BU129" i="1"/>
  <c r="CM25" i="1"/>
  <c r="CN25" i="1"/>
  <c r="CO25" i="1"/>
  <c r="CH25" i="1"/>
  <c r="BB158" i="1"/>
  <c r="BC158" i="1"/>
  <c r="CM31" i="1"/>
  <c r="CN31" i="1"/>
  <c r="CO31" i="1"/>
  <c r="CH31" i="1"/>
  <c r="CI30" i="1"/>
  <c r="BU96" i="1"/>
  <c r="CC139" i="1"/>
  <c r="CA139" i="1"/>
  <c r="CB139" i="1"/>
  <c r="BU125" i="1"/>
  <c r="CC30" i="1"/>
  <c r="CB30" i="1"/>
  <c r="CA30" i="1"/>
  <c r="CA151" i="1"/>
  <c r="CC151" i="1"/>
  <c r="CB151" i="1"/>
  <c r="BU128" i="1"/>
  <c r="CC146" i="1"/>
  <c r="CB146" i="1"/>
  <c r="CA146" i="1"/>
  <c r="CA140" i="1"/>
  <c r="CB140" i="1"/>
  <c r="CC140" i="1"/>
  <c r="BU85" i="1"/>
  <c r="BU99" i="1"/>
  <c r="CJ142" i="1"/>
  <c r="CK142" i="1"/>
  <c r="CH142" i="1"/>
  <c r="CM142" i="1"/>
  <c r="CN142" i="1"/>
  <c r="CO142" i="1"/>
  <c r="CG142" i="1"/>
  <c r="BY77" i="1"/>
  <c r="BZ77" i="1"/>
  <c r="CC77" i="1"/>
  <c r="CJ77" i="1"/>
  <c r="CK152" i="1"/>
  <c r="CJ152" i="1"/>
  <c r="CJ161" i="1"/>
  <c r="CK161" i="1"/>
  <c r="CI35" i="1"/>
  <c r="CK160" i="1"/>
  <c r="CJ160" i="1"/>
  <c r="CH152" i="1"/>
  <c r="CM152" i="1"/>
  <c r="CN152" i="1"/>
  <c r="CO152" i="1"/>
  <c r="CG152" i="1"/>
  <c r="CM160" i="1"/>
  <c r="CN160" i="1"/>
  <c r="CO160" i="1"/>
  <c r="CH160" i="1"/>
  <c r="CG160" i="1"/>
  <c r="BW77" i="1"/>
  <c r="CI77" i="1"/>
  <c r="CH161" i="1"/>
  <c r="CM161" i="1"/>
  <c r="CN161" i="1"/>
  <c r="CO161" i="1"/>
  <c r="CG161" i="1"/>
  <c r="CA115" i="1"/>
  <c r="CJ150" i="1"/>
  <c r="BW158" i="1"/>
  <c r="BV35" i="1"/>
  <c r="CF35" i="1"/>
  <c r="CM35" i="1"/>
  <c r="CN35" i="1"/>
  <c r="CO35" i="1"/>
  <c r="BU41" i="1"/>
  <c r="BY41" i="1"/>
  <c r="BZ41" i="1"/>
  <c r="CM150" i="1"/>
  <c r="CN150" i="1"/>
  <c r="CO150" i="1"/>
  <c r="CH150" i="1"/>
  <c r="CC115" i="1"/>
  <c r="CJ115" i="1"/>
  <c r="CI135" i="1"/>
  <c r="CK135" i="1"/>
  <c r="BY91" i="1"/>
  <c r="BZ91" i="1"/>
  <c r="CC91" i="1"/>
  <c r="CC137" i="1"/>
  <c r="CM145" i="1"/>
  <c r="CN145" i="1"/>
  <c r="CO145" i="1"/>
  <c r="BW126" i="1"/>
  <c r="CI126" i="1"/>
  <c r="CK126" i="1"/>
  <c r="CB116" i="1"/>
  <c r="CG116" i="1"/>
  <c r="BY98" i="1"/>
  <c r="BZ98" i="1"/>
  <c r="CB98" i="1"/>
  <c r="BW95" i="1"/>
  <c r="CI95" i="1"/>
  <c r="CK95" i="1"/>
  <c r="BY79" i="1"/>
  <c r="BZ79" i="1"/>
  <c r="CC79" i="1"/>
  <c r="CJ149" i="1"/>
  <c r="CG26" i="1"/>
  <c r="CF135" i="1"/>
  <c r="CH135" i="1"/>
  <c r="CI136" i="1"/>
  <c r="CK136" i="1"/>
  <c r="CH140" i="1"/>
  <c r="BW79" i="1"/>
  <c r="CI79" i="1"/>
  <c r="CG140" i="1"/>
  <c r="CA136" i="1"/>
  <c r="CA135" i="1"/>
  <c r="CG145" i="1"/>
  <c r="CC135" i="1"/>
  <c r="BV98" i="1"/>
  <c r="CF98" i="1"/>
  <c r="CM98" i="1"/>
  <c r="CN98" i="1"/>
  <c r="CO98" i="1"/>
  <c r="BY126" i="1"/>
  <c r="BZ126" i="1"/>
  <c r="CC126" i="1"/>
  <c r="BW91" i="1"/>
  <c r="CI91" i="1"/>
  <c r="CK91" i="1"/>
  <c r="CM116" i="1"/>
  <c r="CN116" i="1"/>
  <c r="CO116" i="1"/>
  <c r="BV117" i="1"/>
  <c r="CF117" i="1"/>
  <c r="CM117" i="1"/>
  <c r="CN117" i="1"/>
  <c r="CO117" i="1"/>
  <c r="BW117" i="1"/>
  <c r="CI117" i="1"/>
  <c r="CK117" i="1"/>
  <c r="CC138" i="1"/>
  <c r="CJ145" i="1"/>
  <c r="CB137" i="1"/>
  <c r="CG147" i="1"/>
  <c r="BY35" i="1"/>
  <c r="BZ35" i="1"/>
  <c r="CA35" i="1"/>
  <c r="BU157" i="1"/>
  <c r="BW157" i="1"/>
  <c r="CI157" i="1"/>
  <c r="CM147" i="1"/>
  <c r="CN147" i="1"/>
  <c r="CO147" i="1"/>
  <c r="CJ147" i="1"/>
  <c r="BY95" i="1"/>
  <c r="BZ95" i="1"/>
  <c r="CC95" i="1"/>
  <c r="CG148" i="1"/>
  <c r="BU57" i="1"/>
  <c r="BW57" i="1"/>
  <c r="CI57" i="1"/>
  <c r="CK57" i="1"/>
  <c r="CI138" i="1"/>
  <c r="CB138" i="1"/>
  <c r="CF95" i="1"/>
  <c r="CH95" i="1"/>
  <c r="CK28" i="1"/>
  <c r="BU155" i="1"/>
  <c r="BV155" i="1"/>
  <c r="CF155" i="1"/>
  <c r="CM155" i="1"/>
  <c r="CN155" i="1"/>
  <c r="CO155" i="1"/>
  <c r="BU40" i="1"/>
  <c r="BY40" i="1"/>
  <c r="BZ40" i="1"/>
  <c r="CB40" i="1"/>
  <c r="CJ139" i="1"/>
  <c r="BU58" i="1"/>
  <c r="BY58" i="1"/>
  <c r="BZ58" i="1"/>
  <c r="BU59" i="1"/>
  <c r="BW59" i="1"/>
  <c r="CI59" i="1"/>
  <c r="BU36" i="1"/>
  <c r="BY36" i="1"/>
  <c r="BZ36" i="1"/>
  <c r="BU37" i="1"/>
  <c r="BW37" i="1"/>
  <c r="CI37" i="1"/>
  <c r="CK37" i="1"/>
  <c r="CH26" i="1"/>
  <c r="BU15" i="1"/>
  <c r="BV15" i="1"/>
  <c r="CF15" i="1"/>
  <c r="CB141" i="1"/>
  <c r="CA141" i="1"/>
  <c r="CB136" i="1"/>
  <c r="CG136" i="1"/>
  <c r="BY158" i="1"/>
  <c r="BZ158" i="1"/>
  <c r="CB158" i="1"/>
  <c r="CI137" i="1"/>
  <c r="CK137" i="1"/>
  <c r="CG27" i="1"/>
  <c r="CH27" i="1"/>
  <c r="CC116" i="1"/>
  <c r="CJ116" i="1"/>
  <c r="CF141" i="1"/>
  <c r="CM141" i="1"/>
  <c r="CN141" i="1"/>
  <c r="CO141" i="1"/>
  <c r="BU60" i="1"/>
  <c r="BY60" i="1"/>
  <c r="BZ60" i="1"/>
  <c r="CF137" i="1"/>
  <c r="CM137" i="1"/>
  <c r="CN137" i="1"/>
  <c r="CO137" i="1"/>
  <c r="CI141" i="1"/>
  <c r="CK141" i="1"/>
  <c r="BU38" i="1"/>
  <c r="BY38" i="1"/>
  <c r="BZ38" i="1"/>
  <c r="CC38" i="1"/>
  <c r="CH136" i="1"/>
  <c r="CM136" i="1"/>
  <c r="CN136" i="1"/>
  <c r="CO136" i="1"/>
  <c r="CH139" i="1"/>
  <c r="CM148" i="1"/>
  <c r="CN148" i="1"/>
  <c r="CO148" i="1"/>
  <c r="CM29" i="1"/>
  <c r="CN29" i="1"/>
  <c r="CO29" i="1"/>
  <c r="CM151" i="1"/>
  <c r="CN151" i="1"/>
  <c r="CO151" i="1"/>
  <c r="CH29" i="1"/>
  <c r="BU61" i="1"/>
  <c r="BY61" i="1"/>
  <c r="BZ61" i="1"/>
  <c r="BU55" i="1"/>
  <c r="BY55" i="1"/>
  <c r="BZ55" i="1"/>
  <c r="BU56" i="1"/>
  <c r="BV56" i="1"/>
  <c r="CF56" i="1"/>
  <c r="BV86" i="1"/>
  <c r="CF86" i="1"/>
  <c r="CH86" i="1"/>
  <c r="BY86" i="1"/>
  <c r="BZ86" i="1"/>
  <c r="BW86" i="1"/>
  <c r="CI86" i="1"/>
  <c r="CK86" i="1"/>
  <c r="CJ121" i="1"/>
  <c r="BV127" i="1"/>
  <c r="CF127" i="1"/>
  <c r="CM127" i="1"/>
  <c r="CN127" i="1"/>
  <c r="CO127" i="1"/>
  <c r="BW101" i="1"/>
  <c r="CI101" i="1"/>
  <c r="CK101" i="1"/>
  <c r="CG139" i="1"/>
  <c r="CJ119" i="1"/>
  <c r="BU39" i="1"/>
  <c r="CF138" i="1"/>
  <c r="CM138" i="1"/>
  <c r="CN138" i="1"/>
  <c r="CO138" i="1"/>
  <c r="CJ31" i="1"/>
  <c r="W13" i="108"/>
  <c r="CF158" i="1"/>
  <c r="CH158" i="1"/>
  <c r="BW156" i="1"/>
  <c r="CI156" i="1"/>
  <c r="CK156" i="1"/>
  <c r="BV156" i="1"/>
  <c r="CF156" i="1"/>
  <c r="CH156" i="1"/>
  <c r="CK150" i="1"/>
  <c r="CJ140" i="1"/>
  <c r="BW131" i="1"/>
  <c r="CI131" i="1"/>
  <c r="CK131" i="1"/>
  <c r="BV131" i="1"/>
  <c r="CF131" i="1"/>
  <c r="CM131" i="1"/>
  <c r="CN131" i="1"/>
  <c r="CO131" i="1"/>
  <c r="BW127" i="1"/>
  <c r="CI127" i="1"/>
  <c r="CK127" i="1"/>
  <c r="CG119" i="1"/>
  <c r="CH119" i="1"/>
  <c r="CM121" i="1"/>
  <c r="CN121" i="1"/>
  <c r="CO121" i="1"/>
  <c r="BW97" i="1"/>
  <c r="CI97" i="1"/>
  <c r="CK97" i="1"/>
  <c r="BV97" i="1"/>
  <c r="CF97" i="1"/>
  <c r="CM97" i="1"/>
  <c r="CN97" i="1"/>
  <c r="CO97" i="1"/>
  <c r="BY89" i="1"/>
  <c r="BZ89" i="1"/>
  <c r="CB89" i="1"/>
  <c r="CH28" i="1"/>
  <c r="CM28" i="1"/>
  <c r="CN28" i="1"/>
  <c r="CO28" i="1"/>
  <c r="CG30" i="1"/>
  <c r="CJ25" i="1"/>
  <c r="CM30" i="1"/>
  <c r="CN30" i="1"/>
  <c r="CO30" i="1"/>
  <c r="CJ29" i="1"/>
  <c r="BY81" i="1"/>
  <c r="BZ81" i="1"/>
  <c r="CB81" i="1"/>
  <c r="BV81" i="1"/>
  <c r="CF81" i="1"/>
  <c r="CM81" i="1"/>
  <c r="CN81" i="1"/>
  <c r="CO81" i="1"/>
  <c r="BV89" i="1"/>
  <c r="CF89" i="1"/>
  <c r="CH89" i="1"/>
  <c r="CG121" i="1"/>
  <c r="CJ151" i="1"/>
  <c r="BV88" i="1"/>
  <c r="CF88" i="1"/>
  <c r="CM88" i="1"/>
  <c r="CN88" i="1"/>
  <c r="CO88" i="1"/>
  <c r="BY90" i="1"/>
  <c r="BZ90" i="1"/>
  <c r="CB90" i="1"/>
  <c r="BY78" i="1"/>
  <c r="BZ78" i="1"/>
  <c r="CB78" i="1"/>
  <c r="CG78" i="1"/>
  <c r="CG149" i="1"/>
  <c r="CI158" i="1"/>
  <c r="CK145" i="1"/>
  <c r="BV90" i="1"/>
  <c r="CF90" i="1"/>
  <c r="CM90" i="1"/>
  <c r="CN90" i="1"/>
  <c r="CO90" i="1"/>
  <c r="BW78" i="1"/>
  <c r="CI78" i="1"/>
  <c r="CK78" i="1"/>
  <c r="CK35" i="1"/>
  <c r="CG146" i="1"/>
  <c r="BY75" i="1"/>
  <c r="BZ75" i="1"/>
  <c r="CB75" i="1"/>
  <c r="BY88" i="1"/>
  <c r="BZ88" i="1"/>
  <c r="CC88" i="1"/>
  <c r="CJ88" i="1"/>
  <c r="CM149" i="1"/>
  <c r="CN149" i="1"/>
  <c r="CO149" i="1"/>
  <c r="CJ148" i="1"/>
  <c r="CM120" i="1"/>
  <c r="CN120" i="1"/>
  <c r="CO120" i="1"/>
  <c r="CH120" i="1"/>
  <c r="CA120" i="1"/>
  <c r="CC120" i="1"/>
  <c r="CJ120" i="1"/>
  <c r="CB120" i="1"/>
  <c r="CG120" i="1"/>
  <c r="CA117" i="1"/>
  <c r="CC117" i="1"/>
  <c r="CB117" i="1"/>
  <c r="CG151" i="1"/>
  <c r="BV75" i="1"/>
  <c r="CF75" i="1"/>
  <c r="CH75" i="1"/>
  <c r="BY101" i="1"/>
  <c r="BZ101" i="1"/>
  <c r="CB101" i="1"/>
  <c r="CG101" i="1"/>
  <c r="CH146" i="1"/>
  <c r="CH78" i="1"/>
  <c r="CK98" i="1"/>
  <c r="CM77" i="1"/>
  <c r="CN77" i="1"/>
  <c r="CO77" i="1"/>
  <c r="CH77" i="1"/>
  <c r="CK75" i="1"/>
  <c r="CK88" i="1"/>
  <c r="CK89" i="1"/>
  <c r="CM91" i="1"/>
  <c r="CN91" i="1"/>
  <c r="CO91" i="1"/>
  <c r="CH91" i="1"/>
  <c r="CK77" i="1"/>
  <c r="BY130" i="1"/>
  <c r="BZ130" i="1"/>
  <c r="BV130" i="1"/>
  <c r="CF130" i="1"/>
  <c r="BW130" i="1"/>
  <c r="CI130" i="1"/>
  <c r="BY99" i="1"/>
  <c r="BZ99" i="1"/>
  <c r="BV99" i="1"/>
  <c r="CF99" i="1"/>
  <c r="BW99" i="1"/>
  <c r="CI99" i="1"/>
  <c r="CK30" i="1"/>
  <c r="CJ30" i="1"/>
  <c r="CM79" i="1"/>
  <c r="CN79" i="1"/>
  <c r="CO79" i="1"/>
  <c r="CH79" i="1"/>
  <c r="BW128" i="1"/>
  <c r="CI128" i="1"/>
  <c r="BV128" i="1"/>
  <c r="CF128" i="1"/>
  <c r="BY128" i="1"/>
  <c r="BZ128" i="1"/>
  <c r="BY125" i="1"/>
  <c r="BZ125" i="1"/>
  <c r="BW125" i="1"/>
  <c r="CI125" i="1"/>
  <c r="BV125" i="1"/>
  <c r="CF125" i="1"/>
  <c r="CH101" i="1"/>
  <c r="CM101" i="1"/>
  <c r="CN101" i="1"/>
  <c r="CO101" i="1"/>
  <c r="BW96" i="1"/>
  <c r="CI96" i="1"/>
  <c r="BY96" i="1"/>
  <c r="BZ96" i="1"/>
  <c r="BV96" i="1"/>
  <c r="CF96" i="1"/>
  <c r="BY129" i="1"/>
  <c r="BZ129" i="1"/>
  <c r="BW129" i="1"/>
  <c r="CI129" i="1"/>
  <c r="BV129" i="1"/>
  <c r="CF129" i="1"/>
  <c r="BY85" i="1"/>
  <c r="BZ85" i="1"/>
  <c r="BV85" i="1"/>
  <c r="CF85" i="1"/>
  <c r="BW85" i="1"/>
  <c r="CI85" i="1"/>
  <c r="CK90" i="1"/>
  <c r="BV100" i="1"/>
  <c r="CF100" i="1"/>
  <c r="BW100" i="1"/>
  <c r="CI100" i="1"/>
  <c r="BY100" i="1"/>
  <c r="BZ100" i="1"/>
  <c r="CK81" i="1"/>
  <c r="BY80" i="1"/>
  <c r="BZ80" i="1"/>
  <c r="BW80" i="1"/>
  <c r="CI80" i="1"/>
  <c r="BV80" i="1"/>
  <c r="CF80" i="1"/>
  <c r="CB156" i="1"/>
  <c r="CA156" i="1"/>
  <c r="CC156" i="1"/>
  <c r="CA131" i="1"/>
  <c r="CC131" i="1"/>
  <c r="CB131" i="1"/>
  <c r="BV87" i="1"/>
  <c r="CF87" i="1"/>
  <c r="BY87" i="1"/>
  <c r="BZ87" i="1"/>
  <c r="BW87" i="1"/>
  <c r="CI87" i="1"/>
  <c r="BW159" i="1"/>
  <c r="CI159" i="1"/>
  <c r="BV159" i="1"/>
  <c r="CF159" i="1"/>
  <c r="BY159" i="1"/>
  <c r="BZ159" i="1"/>
  <c r="CB127" i="1"/>
  <c r="CA127" i="1"/>
  <c r="CC127" i="1"/>
  <c r="CH126" i="1"/>
  <c r="CM126" i="1"/>
  <c r="CN126" i="1"/>
  <c r="CO126" i="1"/>
  <c r="CA77" i="1"/>
  <c r="CK146" i="1"/>
  <c r="CJ146" i="1"/>
  <c r="BW76" i="1"/>
  <c r="CI76" i="1"/>
  <c r="BY76" i="1"/>
  <c r="BZ76" i="1"/>
  <c r="BV76" i="1"/>
  <c r="CF76" i="1"/>
  <c r="CC97" i="1"/>
  <c r="CA97" i="1"/>
  <c r="CB97" i="1"/>
  <c r="CB77" i="1"/>
  <c r="CG77" i="1"/>
  <c r="CA91" i="1"/>
  <c r="CB91" i="1"/>
  <c r="CG91" i="1"/>
  <c r="BV41" i="1"/>
  <c r="CF41" i="1"/>
  <c r="CM41" i="1"/>
  <c r="CN41" i="1"/>
  <c r="CO41" i="1"/>
  <c r="CH35" i="1"/>
  <c r="CJ135" i="1"/>
  <c r="BW41" i="1"/>
  <c r="CI41" i="1"/>
  <c r="CK41" i="1"/>
  <c r="CJ138" i="1"/>
  <c r="CA98" i="1"/>
  <c r="CA126" i="1"/>
  <c r="CC98" i="1"/>
  <c r="CJ98" i="1"/>
  <c r="CB79" i="1"/>
  <c r="CG79" i="1"/>
  <c r="CG117" i="1"/>
  <c r="CA79" i="1"/>
  <c r="CJ126" i="1"/>
  <c r="CJ95" i="1"/>
  <c r="BV38" i="1"/>
  <c r="CF38" i="1"/>
  <c r="CM38" i="1"/>
  <c r="CN38" i="1"/>
  <c r="CO38" i="1"/>
  <c r="CM135" i="1"/>
  <c r="CN135" i="1"/>
  <c r="CO135" i="1"/>
  <c r="BW155" i="1"/>
  <c r="CI155" i="1"/>
  <c r="CK155" i="1"/>
  <c r="BY155" i="1"/>
  <c r="BZ155" i="1"/>
  <c r="CA155" i="1"/>
  <c r="CH98" i="1"/>
  <c r="BW40" i="1"/>
  <c r="CI40" i="1"/>
  <c r="CK40" i="1"/>
  <c r="CG98" i="1"/>
  <c r="CC35" i="1"/>
  <c r="CJ35" i="1"/>
  <c r="BV61" i="1"/>
  <c r="CF61" i="1"/>
  <c r="CH61" i="1"/>
  <c r="CJ79" i="1"/>
  <c r="CG135" i="1"/>
  <c r="BW60" i="1"/>
  <c r="CI60" i="1"/>
  <c r="CK60" i="1"/>
  <c r="BV60" i="1"/>
  <c r="CF60" i="1"/>
  <c r="CH60" i="1"/>
  <c r="CC40" i="1"/>
  <c r="BV40" i="1"/>
  <c r="CF40" i="1"/>
  <c r="CH40" i="1"/>
  <c r="CA40" i="1"/>
  <c r="CB95" i="1"/>
  <c r="CG95" i="1"/>
  <c r="CM95" i="1"/>
  <c r="CN95" i="1"/>
  <c r="CO95" i="1"/>
  <c r="BV37" i="1"/>
  <c r="CF37" i="1"/>
  <c r="CM37" i="1"/>
  <c r="CN37" i="1"/>
  <c r="CO37" i="1"/>
  <c r="CH117" i="1"/>
  <c r="BY157" i="1"/>
  <c r="BZ157" i="1"/>
  <c r="CA157" i="1"/>
  <c r="CB35" i="1"/>
  <c r="CG35" i="1"/>
  <c r="CJ137" i="1"/>
  <c r="CJ91" i="1"/>
  <c r="CK79" i="1"/>
  <c r="BW36" i="1"/>
  <c r="CI36" i="1"/>
  <c r="CK36" i="1"/>
  <c r="CA38" i="1"/>
  <c r="CA95" i="1"/>
  <c r="CB126" i="1"/>
  <c r="CG126" i="1"/>
  <c r="CH127" i="1"/>
  <c r="BW61" i="1"/>
  <c r="CI61" i="1"/>
  <c r="CK61" i="1"/>
  <c r="CJ117" i="1"/>
  <c r="BW38" i="1"/>
  <c r="CI38" i="1"/>
  <c r="CK38" i="1"/>
  <c r="CA158" i="1"/>
  <c r="BV36" i="1"/>
  <c r="CF36" i="1"/>
  <c r="CM36" i="1"/>
  <c r="CN36" i="1"/>
  <c r="CO36" i="1"/>
  <c r="BV157" i="1"/>
  <c r="CF157" i="1"/>
  <c r="CH157" i="1"/>
  <c r="CG137" i="1"/>
  <c r="CB38" i="1"/>
  <c r="CJ136" i="1"/>
  <c r="BW56" i="1"/>
  <c r="CI56" i="1"/>
  <c r="CK56" i="1"/>
  <c r="BY56" i="1"/>
  <c r="BZ56" i="1"/>
  <c r="CC56" i="1"/>
  <c r="CA89" i="1"/>
  <c r="BV59" i="1"/>
  <c r="CF59" i="1"/>
  <c r="CM59" i="1"/>
  <c r="CN59" i="1"/>
  <c r="CO59" i="1"/>
  <c r="BV58" i="1"/>
  <c r="CF58" i="1"/>
  <c r="CH58" i="1"/>
  <c r="BY57" i="1"/>
  <c r="BZ57" i="1"/>
  <c r="CC57" i="1"/>
  <c r="CJ57" i="1"/>
  <c r="BY59" i="1"/>
  <c r="BZ59" i="1"/>
  <c r="CA59" i="1"/>
  <c r="CJ141" i="1"/>
  <c r="BV57" i="1"/>
  <c r="CF57" i="1"/>
  <c r="CM57" i="1"/>
  <c r="CN57" i="1"/>
  <c r="CO57" i="1"/>
  <c r="CC158" i="1"/>
  <c r="CJ158" i="1"/>
  <c r="CK138" i="1"/>
  <c r="BW58" i="1"/>
  <c r="CI58" i="1"/>
  <c r="CK58" i="1"/>
  <c r="CH137" i="1"/>
  <c r="CG141" i="1"/>
  <c r="BY15" i="1"/>
  <c r="BZ15" i="1"/>
  <c r="CA15" i="1"/>
  <c r="BW55" i="1"/>
  <c r="CI55" i="1"/>
  <c r="CK55" i="1"/>
  <c r="BY37" i="1"/>
  <c r="BZ37" i="1"/>
  <c r="CA37" i="1"/>
  <c r="CG97" i="1"/>
  <c r="CH97" i="1"/>
  <c r="BV55" i="1"/>
  <c r="CF55" i="1"/>
  <c r="CH55" i="1"/>
  <c r="BW15" i="1"/>
  <c r="CI15" i="1"/>
  <c r="CK15" i="1"/>
  <c r="CH141" i="1"/>
  <c r="CM86" i="1"/>
  <c r="CN86" i="1"/>
  <c r="CO86" i="1"/>
  <c r="CM40" i="1"/>
  <c r="CN40" i="1"/>
  <c r="CO40" i="1"/>
  <c r="CG138" i="1"/>
  <c r="CH131" i="1"/>
  <c r="CH138" i="1"/>
  <c r="CH155" i="1"/>
  <c r="BW39" i="1"/>
  <c r="CI39" i="1"/>
  <c r="CK39" i="1"/>
  <c r="BY39" i="1"/>
  <c r="BZ39" i="1"/>
  <c r="BV39" i="1"/>
  <c r="CF39" i="1"/>
  <c r="CG131" i="1"/>
  <c r="CA86" i="1"/>
  <c r="CB86" i="1"/>
  <c r="CG86" i="1"/>
  <c r="CC86" i="1"/>
  <c r="CJ86" i="1"/>
  <c r="CM158" i="1"/>
  <c r="CN158" i="1"/>
  <c r="CO158" i="1"/>
  <c r="CJ97" i="1"/>
  <c r="CG127" i="1"/>
  <c r="CM156" i="1"/>
  <c r="CN156" i="1"/>
  <c r="CO156" i="1"/>
  <c r="CG156" i="1"/>
  <c r="CJ156" i="1"/>
  <c r="CG158" i="1"/>
  <c r="CK158" i="1"/>
  <c r="CJ127" i="1"/>
  <c r="CJ131" i="1"/>
  <c r="CC90" i="1"/>
  <c r="CJ90" i="1"/>
  <c r="CH88" i="1"/>
  <c r="CC89" i="1"/>
  <c r="CJ89" i="1"/>
  <c r="CA90" i="1"/>
  <c r="CG90" i="1"/>
  <c r="CG81" i="1"/>
  <c r="CM75" i="1"/>
  <c r="CN75" i="1"/>
  <c r="CO75" i="1"/>
  <c r="CG75" i="1"/>
  <c r="CH81" i="1"/>
  <c r="CC81" i="1"/>
  <c r="CJ81" i="1"/>
  <c r="CA81" i="1"/>
  <c r="CC78" i="1"/>
  <c r="CJ78" i="1"/>
  <c r="CC101" i="1"/>
  <c r="CJ101" i="1"/>
  <c r="CM89" i="1"/>
  <c r="CN89" i="1"/>
  <c r="CO89" i="1"/>
  <c r="CG89" i="1"/>
  <c r="CA101" i="1"/>
  <c r="CA78" i="1"/>
  <c r="CH90" i="1"/>
  <c r="CA75" i="1"/>
  <c r="CC75" i="1"/>
  <c r="CJ75" i="1"/>
  <c r="CA88" i="1"/>
  <c r="CB88" i="1"/>
  <c r="CG88" i="1"/>
  <c r="CB58" i="1"/>
  <c r="CA58" i="1"/>
  <c r="CC58" i="1"/>
  <c r="CB85" i="1"/>
  <c r="CG85" i="1"/>
  <c r="CA85" i="1"/>
  <c r="CC85" i="1"/>
  <c r="CJ85" i="1"/>
  <c r="CM99" i="1"/>
  <c r="CN99" i="1"/>
  <c r="CO99" i="1"/>
  <c r="CH99" i="1"/>
  <c r="CB60" i="1"/>
  <c r="CA60" i="1"/>
  <c r="CC60" i="1"/>
  <c r="CH96" i="1"/>
  <c r="CM96" i="1"/>
  <c r="CN96" i="1"/>
  <c r="CO96" i="1"/>
  <c r="CA128" i="1"/>
  <c r="CC128" i="1"/>
  <c r="CJ128" i="1"/>
  <c r="CB128" i="1"/>
  <c r="CG128" i="1"/>
  <c r="CK159" i="1"/>
  <c r="CC41" i="1"/>
  <c r="CB41" i="1"/>
  <c r="CG41" i="1"/>
  <c r="CA41" i="1"/>
  <c r="CH80" i="1"/>
  <c r="CM80" i="1"/>
  <c r="CN80" i="1"/>
  <c r="CO80" i="1"/>
  <c r="CC100" i="1"/>
  <c r="CJ100" i="1"/>
  <c r="CB100" i="1"/>
  <c r="CG100" i="1"/>
  <c r="CA100" i="1"/>
  <c r="CB55" i="1"/>
  <c r="CA55" i="1"/>
  <c r="CC55" i="1"/>
  <c r="CM129" i="1"/>
  <c r="CN129" i="1"/>
  <c r="CO129" i="1"/>
  <c r="CH129" i="1"/>
  <c r="CB96" i="1"/>
  <c r="CG96" i="1"/>
  <c r="CC96" i="1"/>
  <c r="CJ96" i="1"/>
  <c r="CA96" i="1"/>
  <c r="CH128" i="1"/>
  <c r="CM128" i="1"/>
  <c r="CN128" i="1"/>
  <c r="CO128" i="1"/>
  <c r="CA159" i="1"/>
  <c r="CB159" i="1"/>
  <c r="CG159" i="1"/>
  <c r="CC159" i="1"/>
  <c r="CJ159" i="1"/>
  <c r="CK128" i="1"/>
  <c r="CK59" i="1"/>
  <c r="CH125" i="1"/>
  <c r="CM125" i="1"/>
  <c r="CN125" i="1"/>
  <c r="CO125" i="1"/>
  <c r="CK99" i="1"/>
  <c r="CC61" i="1"/>
  <c r="CB61" i="1"/>
  <c r="CA61" i="1"/>
  <c r="CK125" i="1"/>
  <c r="CC99" i="1"/>
  <c r="CJ99" i="1"/>
  <c r="CB99" i="1"/>
  <c r="CG99" i="1"/>
  <c r="CA99" i="1"/>
  <c r="CM159" i="1"/>
  <c r="CN159" i="1"/>
  <c r="CO159" i="1"/>
  <c r="CH159" i="1"/>
  <c r="CK100" i="1"/>
  <c r="CK96" i="1"/>
  <c r="CB80" i="1"/>
  <c r="CG80" i="1"/>
  <c r="CA80" i="1"/>
  <c r="CC80" i="1"/>
  <c r="CJ80" i="1"/>
  <c r="CC129" i="1"/>
  <c r="CJ129" i="1"/>
  <c r="CA129" i="1"/>
  <c r="CB129" i="1"/>
  <c r="CG129" i="1"/>
  <c r="CH130" i="1"/>
  <c r="CM130" i="1"/>
  <c r="CN130" i="1"/>
  <c r="CO130" i="1"/>
  <c r="CK76" i="1"/>
  <c r="CM85" i="1"/>
  <c r="CN85" i="1"/>
  <c r="CO85" i="1"/>
  <c r="CH85" i="1"/>
  <c r="CM15" i="1"/>
  <c r="CN15" i="1"/>
  <c r="CO15" i="1"/>
  <c r="CH15" i="1"/>
  <c r="CM56" i="1"/>
  <c r="CN56" i="1"/>
  <c r="CO56" i="1"/>
  <c r="CH56" i="1"/>
  <c r="CK157" i="1"/>
  <c r="CA125" i="1"/>
  <c r="CB125" i="1"/>
  <c r="CG125" i="1"/>
  <c r="CC125" i="1"/>
  <c r="CJ125" i="1"/>
  <c r="CC36" i="1"/>
  <c r="CJ36" i="1"/>
  <c r="CA36" i="1"/>
  <c r="CB36" i="1"/>
  <c r="CK87" i="1"/>
  <c r="CK80" i="1"/>
  <c r="CK129" i="1"/>
  <c r="CK130" i="1"/>
  <c r="CM76" i="1"/>
  <c r="CN76" i="1"/>
  <c r="CO76" i="1"/>
  <c r="CH76" i="1"/>
  <c r="CC87" i="1"/>
  <c r="CJ87" i="1"/>
  <c r="CA87" i="1"/>
  <c r="CB87" i="1"/>
  <c r="CG87" i="1"/>
  <c r="CM100" i="1"/>
  <c r="CN100" i="1"/>
  <c r="CO100" i="1"/>
  <c r="CH100" i="1"/>
  <c r="CC76" i="1"/>
  <c r="CJ76" i="1"/>
  <c r="CB76" i="1"/>
  <c r="CG76" i="1"/>
  <c r="CA76" i="1"/>
  <c r="CM87" i="1"/>
  <c r="CN87" i="1"/>
  <c r="CO87" i="1"/>
  <c r="CH87" i="1"/>
  <c r="CK85" i="1"/>
  <c r="CB130" i="1"/>
  <c r="CG130" i="1"/>
  <c r="CC130" i="1"/>
  <c r="CJ130" i="1"/>
  <c r="CA130" i="1"/>
  <c r="CH41" i="1"/>
  <c r="CG38" i="1"/>
  <c r="CJ41" i="1"/>
  <c r="CG60" i="1"/>
  <c r="CM60" i="1"/>
  <c r="CN60" i="1"/>
  <c r="CO60" i="1"/>
  <c r="CB155" i="1"/>
  <c r="CG155" i="1"/>
  <c r="CM157" i="1"/>
  <c r="CN157" i="1"/>
  <c r="CO157" i="1"/>
  <c r="CB157" i="1"/>
  <c r="CG157" i="1"/>
  <c r="CM61" i="1"/>
  <c r="CN61" i="1"/>
  <c r="CO61" i="1"/>
  <c r="CH38" i="1"/>
  <c r="CJ40" i="1"/>
  <c r="CC155" i="1"/>
  <c r="CJ155" i="1"/>
  <c r="CJ56" i="1"/>
  <c r="CG58" i="1"/>
  <c r="CG61" i="1"/>
  <c r="CJ60" i="1"/>
  <c r="CH37" i="1"/>
  <c r="CG40" i="1"/>
  <c r="CH59" i="1"/>
  <c r="CH36" i="1"/>
  <c r="CG36" i="1"/>
  <c r="CJ38" i="1"/>
  <c r="CJ61" i="1"/>
  <c r="CH57" i="1"/>
  <c r="CC157" i="1"/>
  <c r="CJ157" i="1"/>
  <c r="CB56" i="1"/>
  <c r="CG56" i="1"/>
  <c r="CA56" i="1"/>
  <c r="CM55" i="1"/>
  <c r="CN55" i="1"/>
  <c r="CO55" i="1"/>
  <c r="CM58" i="1"/>
  <c r="CN58" i="1"/>
  <c r="CO58" i="1"/>
  <c r="CJ55" i="1"/>
  <c r="CJ58" i="1"/>
  <c r="CB15" i="1"/>
  <c r="CG15" i="1"/>
  <c r="CB59" i="1"/>
  <c r="CG59" i="1"/>
  <c r="CC15" i="1"/>
  <c r="CJ15" i="1"/>
  <c r="CC59" i="1"/>
  <c r="CJ59" i="1"/>
  <c r="CC37" i="1"/>
  <c r="CJ37" i="1"/>
  <c r="CA57" i="1"/>
  <c r="CB57" i="1"/>
  <c r="CG57" i="1"/>
  <c r="CB37" i="1"/>
  <c r="CG37" i="1"/>
  <c r="CG55" i="1"/>
  <c r="CM39" i="1"/>
  <c r="CN39" i="1"/>
  <c r="CO39" i="1"/>
  <c r="CH39" i="1"/>
  <c r="CC39" i="1"/>
  <c r="CJ39" i="1"/>
  <c r="CB39" i="1"/>
  <c r="CG39" i="1"/>
  <c r="CA39" i="1"/>
  <c r="L118" i="1"/>
  <c r="M118" i="1"/>
  <c r="BU11" i="1"/>
  <c r="BY11" i="1"/>
  <c r="BZ11" i="1"/>
  <c r="BU9" i="1"/>
  <c r="BU6" i="1"/>
  <c r="BW6" i="1"/>
  <c r="CI6" i="1"/>
  <c r="BU8" i="1"/>
  <c r="BW8" i="1"/>
  <c r="CI8" i="1"/>
  <c r="BU7" i="1"/>
  <c r="BY7" i="1"/>
  <c r="BZ7" i="1"/>
  <c r="BU10" i="1"/>
  <c r="BW10" i="1"/>
  <c r="CI10" i="1"/>
  <c r="BW11" i="1"/>
  <c r="CI11" i="1"/>
  <c r="CK11" i="1"/>
  <c r="BV11" i="1"/>
  <c r="CF11" i="1"/>
  <c r="CH11" i="1"/>
  <c r="CA11" i="1"/>
  <c r="CC11" i="1"/>
  <c r="BY10" i="1"/>
  <c r="BZ10" i="1"/>
  <c r="CB10" i="1"/>
  <c r="BY6" i="1"/>
  <c r="BZ6" i="1"/>
  <c r="CA6" i="1"/>
  <c r="BV6" i="1"/>
  <c r="CF6" i="1"/>
  <c r="CM6" i="1"/>
  <c r="CN6" i="1"/>
  <c r="CO6" i="1"/>
  <c r="BV10" i="1"/>
  <c r="CF10" i="1"/>
  <c r="CK10" i="1"/>
  <c r="CK8" i="1"/>
  <c r="CK6" i="1"/>
  <c r="BW9" i="1"/>
  <c r="CI9" i="1"/>
  <c r="BY9" i="1"/>
  <c r="BZ9" i="1"/>
  <c r="BV9" i="1"/>
  <c r="CF9" i="1"/>
  <c r="CC7" i="1"/>
  <c r="CA7" i="1"/>
  <c r="CB7" i="1"/>
  <c r="BV8" i="1"/>
  <c r="CF8" i="1"/>
  <c r="BY8" i="1"/>
  <c r="BZ8" i="1"/>
  <c r="CB11" i="1"/>
  <c r="BW7" i="1"/>
  <c r="CI7" i="1"/>
  <c r="BV7" i="1"/>
  <c r="CF7" i="1"/>
  <c r="CG11" i="1"/>
  <c r="CM11" i="1"/>
  <c r="CN11" i="1"/>
  <c r="CO11" i="1"/>
  <c r="CJ11" i="1"/>
  <c r="CB6" i="1"/>
  <c r="CG6" i="1"/>
  <c r="CC10" i="1"/>
  <c r="CJ10" i="1"/>
  <c r="CH10" i="1"/>
  <c r="CG10" i="1"/>
  <c r="CA10" i="1"/>
  <c r="CM10" i="1"/>
  <c r="CN10" i="1"/>
  <c r="CO10" i="1"/>
  <c r="CH6" i="1"/>
  <c r="CC6" i="1"/>
  <c r="CJ6" i="1"/>
  <c r="CJ7" i="1"/>
  <c r="CK7" i="1"/>
  <c r="CM9" i="1"/>
  <c r="CN9" i="1"/>
  <c r="CO9" i="1"/>
  <c r="CH9" i="1"/>
  <c r="CK9" i="1"/>
  <c r="CA8" i="1"/>
  <c r="CC8" i="1"/>
  <c r="CJ8" i="1"/>
  <c r="CB8" i="1"/>
  <c r="CG8" i="1"/>
  <c r="CM7" i="1"/>
  <c r="CN7" i="1"/>
  <c r="CO7" i="1"/>
  <c r="CH7" i="1"/>
  <c r="CM8" i="1"/>
  <c r="CN8" i="1"/>
  <c r="CO8" i="1"/>
  <c r="CH8" i="1"/>
  <c r="CB9" i="1"/>
  <c r="CG9" i="1"/>
  <c r="CC9" i="1"/>
  <c r="CJ9" i="1"/>
  <c r="CA9" i="1"/>
  <c r="CG7" i="1"/>
  <c r="BU5" i="1"/>
  <c r="BW5" i="1"/>
  <c r="CI5" i="1"/>
  <c r="BY5" i="1"/>
  <c r="BZ5" i="1"/>
  <c r="CC5" i="1"/>
  <c r="CJ5" i="1"/>
  <c r="CK5" i="1"/>
  <c r="BV5" i="1"/>
  <c r="CF5" i="1"/>
  <c r="CA5" i="1"/>
  <c r="CB5" i="1"/>
  <c r="CG5" i="1"/>
  <c r="CH5" i="1"/>
  <c r="CM5" i="1"/>
  <c r="CN5" i="1"/>
  <c r="CO5" i="1"/>
  <c r="BU20" i="1"/>
  <c r="BW20" i="1"/>
  <c r="CI20" i="1"/>
  <c r="BU21" i="1"/>
  <c r="BV21" i="1"/>
  <c r="CF21" i="1"/>
  <c r="BU17" i="1"/>
  <c r="BV17" i="1"/>
  <c r="CF17" i="1"/>
  <c r="BU18" i="1"/>
  <c r="BW18" i="1"/>
  <c r="CI18" i="1"/>
  <c r="BU16" i="1"/>
  <c r="BY16" i="1"/>
  <c r="BZ16" i="1"/>
  <c r="CA16" i="1"/>
  <c r="BU19" i="1"/>
  <c r="BV19" i="1"/>
  <c r="CF19" i="1"/>
  <c r="BY17" i="1"/>
  <c r="BZ17" i="1"/>
  <c r="CC17" i="1"/>
  <c r="BW16" i="1"/>
  <c r="CI16" i="1"/>
  <c r="CK16" i="1"/>
  <c r="BV16" i="1"/>
  <c r="CF16" i="1"/>
  <c r="CM16" i="1"/>
  <c r="CN16" i="1"/>
  <c r="CO16" i="1"/>
  <c r="BV20" i="1"/>
  <c r="CF20" i="1"/>
  <c r="CM20" i="1"/>
  <c r="CN20" i="1"/>
  <c r="CO20" i="1"/>
  <c r="BW21" i="1"/>
  <c r="CI21" i="1"/>
  <c r="CK21" i="1"/>
  <c r="CK18" i="1"/>
  <c r="CM17" i="1"/>
  <c r="CN17" i="1"/>
  <c r="CO17" i="1"/>
  <c r="CH17" i="1"/>
  <c r="CH19" i="1"/>
  <c r="CM19" i="1"/>
  <c r="CN19" i="1"/>
  <c r="CO19" i="1"/>
  <c r="CH21" i="1"/>
  <c r="CM21" i="1"/>
  <c r="CN21" i="1"/>
  <c r="CO21" i="1"/>
  <c r="CK20" i="1"/>
  <c r="CC16" i="1"/>
  <c r="CJ16" i="1"/>
  <c r="BY20" i="1"/>
  <c r="BZ20" i="1"/>
  <c r="BY21" i="1"/>
  <c r="BZ21" i="1"/>
  <c r="BV18" i="1"/>
  <c r="CF18" i="1"/>
  <c r="BW17" i="1"/>
  <c r="CI17" i="1"/>
  <c r="BW19" i="1"/>
  <c r="CI19" i="1"/>
  <c r="BY19" i="1"/>
  <c r="BZ19" i="1"/>
  <c r="BY18" i="1"/>
  <c r="BZ18" i="1"/>
  <c r="CB16" i="1"/>
  <c r="CB17" i="1"/>
  <c r="CG17" i="1"/>
  <c r="CA17" i="1"/>
  <c r="CG16" i="1"/>
  <c r="CH20" i="1"/>
  <c r="CH16" i="1"/>
  <c r="CJ17" i="1"/>
  <c r="CK17" i="1"/>
  <c r="CH18" i="1"/>
  <c r="CM18" i="1"/>
  <c r="CN18" i="1"/>
  <c r="CO18" i="1"/>
  <c r="CA21" i="1"/>
  <c r="CC21" i="1"/>
  <c r="CJ21" i="1"/>
  <c r="CB21" i="1"/>
  <c r="CG21" i="1"/>
  <c r="CB19" i="1"/>
  <c r="CG19" i="1"/>
  <c r="CA19" i="1"/>
  <c r="CC19" i="1"/>
  <c r="CJ19" i="1"/>
  <c r="CC20" i="1"/>
  <c r="CJ20" i="1"/>
  <c r="CB20" i="1"/>
  <c r="CG20" i="1"/>
  <c r="CA20" i="1"/>
  <c r="CC18" i="1"/>
  <c r="CJ18" i="1"/>
  <c r="CA18" i="1"/>
  <c r="CB18" i="1"/>
  <c r="CG18" i="1"/>
  <c r="CK19" i="1"/>
  <c r="BQ47" i="1"/>
  <c r="BU47" i="1"/>
  <c r="BQ48" i="1"/>
  <c r="BU48" i="1"/>
  <c r="BY48" i="1"/>
  <c r="BZ48" i="1"/>
  <c r="BW48" i="1"/>
  <c r="CI48" i="1"/>
  <c r="BV48" i="1"/>
  <c r="CF48" i="1"/>
  <c r="BW47" i="1"/>
  <c r="CI47" i="1"/>
  <c r="BY47" i="1"/>
  <c r="BZ47" i="1"/>
  <c r="BV47" i="1"/>
  <c r="CF47" i="1"/>
  <c r="CH47" i="1"/>
  <c r="CM47" i="1"/>
  <c r="CN47" i="1"/>
  <c r="CO47" i="1"/>
  <c r="CK47" i="1"/>
  <c r="CK48" i="1"/>
  <c r="CC47" i="1"/>
  <c r="CJ47" i="1"/>
  <c r="CB47" i="1"/>
  <c r="CG47" i="1"/>
  <c r="CA47" i="1"/>
  <c r="CH48" i="1"/>
  <c r="CM48" i="1"/>
  <c r="CN48" i="1"/>
  <c r="CO48" i="1"/>
  <c r="CB48" i="1"/>
  <c r="CG48" i="1"/>
  <c r="CA48" i="1"/>
  <c r="CC48" i="1"/>
  <c r="CJ48" i="1"/>
  <c r="E118" i="1"/>
  <c r="H118" i="1"/>
  <c r="G118" i="1"/>
  <c r="N118" i="1"/>
  <c r="CD118" i="1"/>
  <c r="S118" i="1"/>
  <c r="CE118" i="1"/>
  <c r="O118" i="1"/>
  <c r="P118" i="1"/>
  <c r="BT118" i="1"/>
  <c r="Q118" i="1"/>
  <c r="R118" i="1"/>
  <c r="BQ118" i="1"/>
  <c r="BK118" i="1"/>
  <c r="BH118" i="1"/>
  <c r="BN118" i="1"/>
  <c r="BU118" i="1"/>
  <c r="BW118" i="1"/>
  <c r="CI118" i="1"/>
  <c r="BY118" i="1"/>
  <c r="BZ118" i="1"/>
  <c r="BV118" i="1"/>
  <c r="CF118" i="1"/>
  <c r="CA118" i="1"/>
  <c r="CC118" i="1"/>
  <c r="CJ118" i="1"/>
  <c r="CB118" i="1"/>
  <c r="CG118" i="1"/>
  <c r="CM118" i="1"/>
  <c r="CN118" i="1"/>
  <c r="CO118" i="1"/>
  <c r="CH118" i="1"/>
  <c r="CK118" i="1"/>
  <c r="DV32" i="1"/>
  <c r="DQ32" i="1"/>
  <c r="DS32" i="1"/>
</calcChain>
</file>

<file path=xl/comments1.xml><?xml version="1.0" encoding="utf-8"?>
<comments xmlns="http://schemas.openxmlformats.org/spreadsheetml/2006/main">
  <authors>
    <author>Danny Quijano</author>
    <author>Miranda Wainberg</author>
  </authors>
  <commentList>
    <comment ref="BN2" authorId="0" shapeId="0">
      <text>
        <r>
          <rPr>
            <b/>
            <sz val="9"/>
            <color indexed="81"/>
            <rFont val="Tahoma"/>
            <family val="2"/>
          </rPr>
          <t>Danny Quijano:</t>
        </r>
        <r>
          <rPr>
            <sz val="9"/>
            <color indexed="81"/>
            <rFont val="Tahoma"/>
            <family val="2"/>
          </rPr>
          <t xml:space="preserve">
Could be stuff like Taxes other than income include severance/production taxes, ad valorem/property taxes, payroll taxes, franchise taxes and other miscellaneous taxes</t>
        </r>
      </text>
    </comment>
    <comment ref="BS2" authorId="0" shapeId="0">
      <text>
        <r>
          <rPr>
            <b/>
            <sz val="9"/>
            <color indexed="81"/>
            <rFont val="Tahoma"/>
            <family val="2"/>
          </rPr>
          <t>Danny Quijano:</t>
        </r>
        <r>
          <rPr>
            <sz val="9"/>
            <color indexed="81"/>
            <rFont val="Tahoma"/>
            <family val="2"/>
          </rPr>
          <t xml:space="preserve">
check annual waterfall revenue columns
</t>
        </r>
      </text>
    </comment>
    <comment ref="BR12" authorId="0" shapeId="0">
      <text>
        <r>
          <rPr>
            <b/>
            <sz val="9"/>
            <color indexed="81"/>
            <rFont val="Tahoma"/>
            <family val="2"/>
          </rPr>
          <t>Danny Quijano:</t>
        </r>
        <r>
          <rPr>
            <sz val="9"/>
            <color indexed="81"/>
            <rFont val="Tahoma"/>
            <family val="2"/>
          </rPr>
          <t xml:space="preserve">
Oil, natural-gas, and NGLs sales</t>
        </r>
      </text>
    </comment>
    <comment ref="BS12" authorId="0" shapeId="0">
      <text>
        <r>
          <rPr>
            <b/>
            <sz val="9"/>
            <color indexed="81"/>
            <rFont val="Tahoma"/>
            <family val="2"/>
          </rPr>
          <t>Danny Quijano:</t>
        </r>
        <r>
          <rPr>
            <sz val="9"/>
            <color indexed="81"/>
            <rFont val="Tahoma"/>
            <family val="2"/>
          </rPr>
          <t xml:space="preserve">
Total revenue excluding g/l on divestitures</t>
        </r>
      </text>
    </comment>
    <comment ref="U13" authorId="0" shapeId="0">
      <text>
        <r>
          <rPr>
            <b/>
            <sz val="9"/>
            <color indexed="81"/>
            <rFont val="Tahoma"/>
            <family val="2"/>
          </rPr>
          <t>Danny Quijano:</t>
        </r>
        <r>
          <rPr>
            <sz val="9"/>
            <color indexed="81"/>
            <rFont val="Tahoma"/>
            <family val="2"/>
          </rPr>
          <t xml:space="preserve">
NGLS included in Oil for 2007-2009
</t>
        </r>
      </text>
    </comment>
    <comment ref="AW13" authorId="1" shapeId="0">
      <text>
        <r>
          <rPr>
            <b/>
            <sz val="8"/>
            <color indexed="81"/>
            <rFont val="Tahoma"/>
            <family val="2"/>
          </rPr>
          <t>Capitalized Interest and Retirement costs deducted from Development Column</t>
        </r>
      </text>
    </comment>
    <comment ref="BO19" authorId="0" shapeId="0">
      <text>
        <r>
          <rPr>
            <b/>
            <sz val="8"/>
            <color indexed="81"/>
            <rFont val="Tahoma"/>
            <family val="2"/>
          </rPr>
          <t>Danny Quijano:</t>
        </r>
        <r>
          <rPr>
            <sz val="8"/>
            <color indexed="81"/>
            <rFont val="Tahoma"/>
            <family val="2"/>
          </rPr>
          <t xml:space="preserve">
In the Note on Interest Expense (Financing Cost, Net) it breaks it down' as follows:
Interest Expense
Amortization of Deferred Loan Costs
Capitalized Interest
Gain on Extinguishment of Debt
Interest Income
For this column, I only put Interest Expense because Cap Int has not been deducted yet.</t>
        </r>
      </text>
    </comment>
    <comment ref="CQ19" authorId="0" shapeId="0">
      <text>
        <r>
          <rPr>
            <b/>
            <sz val="9"/>
            <color indexed="81"/>
            <rFont val="Tahoma"/>
            <family val="2"/>
          </rPr>
          <t>Danny Quijano:</t>
        </r>
        <r>
          <rPr>
            <sz val="9"/>
            <color indexed="81"/>
            <rFont val="Tahoma"/>
            <family val="2"/>
          </rPr>
          <t xml:space="preserve">
Unproved properties in Capitalized Costs section</t>
        </r>
      </text>
    </comment>
    <comment ref="BE29" authorId="0" shapeId="0">
      <text>
        <r>
          <rPr>
            <b/>
            <sz val="8"/>
            <color indexed="81"/>
            <rFont val="Tahoma"/>
            <family val="2"/>
          </rPr>
          <t>Danny Quijano:</t>
        </r>
        <r>
          <rPr>
            <sz val="8"/>
            <color indexed="81"/>
            <rFont val="Tahoma"/>
            <family val="2"/>
          </rPr>
          <t xml:space="preserve">
Direct Operations Expenses + Transportation and Gathering</t>
        </r>
      </text>
    </comment>
    <comment ref="BP29" authorId="1" shapeId="0">
      <text>
        <r>
          <rPr>
            <sz val="8"/>
            <color indexed="81"/>
            <rFont val="Tahoma"/>
            <family val="2"/>
          </rPr>
          <t>See note in Annual Waterfall on Cabot's Interest Expense. Calculated from notes on debt and credit agreements</t>
        </r>
      </text>
    </comment>
    <comment ref="AC31" authorId="0" shapeId="0">
      <text>
        <r>
          <rPr>
            <b/>
            <sz val="9"/>
            <color indexed="81"/>
            <rFont val="Tahoma"/>
            <family val="2"/>
          </rPr>
          <t>Danny Quijano:</t>
        </r>
        <r>
          <rPr>
            <sz val="9"/>
            <color indexed="81"/>
            <rFont val="Tahoma"/>
            <family val="2"/>
          </rPr>
          <t xml:space="preserve">
The net upward revision was primarily due to an upward performance revision of 702.9 Bcfe associated with positive drilling results in the Dimock field in northeast Pennsylvania, partially offset by a downward revision of 277.3 Bcfe associated with lower commodity prices.
</t>
        </r>
      </text>
    </comment>
    <comment ref="CP31" authorId="0" shapeId="0">
      <text>
        <r>
          <rPr>
            <b/>
            <sz val="9"/>
            <color indexed="81"/>
            <rFont val="Tahoma"/>
            <family val="2"/>
          </rPr>
          <t>Danny Quijano:</t>
        </r>
        <r>
          <rPr>
            <sz val="9"/>
            <color indexed="81"/>
            <rFont val="Tahoma"/>
            <family val="2"/>
          </rPr>
          <t xml:space="preserve">
Entire balance at beginning of period reclassified to "wells, facilities, and equipment based on the determination of proved reserves"</t>
        </r>
      </text>
    </comment>
    <comment ref="AT33" authorId="1" shapeId="0">
      <text>
        <r>
          <rPr>
            <b/>
            <sz val="8"/>
            <color indexed="81"/>
            <rFont val="Tahoma"/>
            <family val="2"/>
          </rPr>
          <t>DMQ
There is a line for deferred income taxes which I've included here.</t>
        </r>
      </text>
    </comment>
    <comment ref="AV33" authorId="1" shapeId="0">
      <text>
        <r>
          <rPr>
            <b/>
            <sz val="8"/>
            <color indexed="81"/>
            <rFont val="Tahoma"/>
            <family val="2"/>
          </rPr>
          <t>DMQ
There is a line item called 'Geological and geophysical costs' which I included here for the years 07-09</t>
        </r>
      </text>
    </comment>
    <comment ref="AC38" authorId="0" shapeId="0">
      <text>
        <r>
          <rPr>
            <b/>
            <sz val="9"/>
            <color indexed="81"/>
            <rFont val="Tahoma"/>
            <family val="2"/>
          </rPr>
          <t>Danny Quijano:</t>
        </r>
        <r>
          <rPr>
            <sz val="9"/>
            <color indexed="81"/>
            <rFont val="Tahoma"/>
            <family val="2"/>
          </rPr>
          <t xml:space="preserve">
During 2012, we recorded downward revisions of 6.763 tcfe to the December 31, 2011 estimates of our reserves. Included in the revisions were 5.414 tcfe of downward revisions resulting from lower natural gas prices in 2012 and 1.349 tcfe of downward revisions resulting from changes to previous estimates</t>
        </r>
      </text>
    </comment>
    <comment ref="AX39" authorId="1" shapeId="0">
      <text>
        <r>
          <rPr>
            <b/>
            <sz val="8"/>
            <color indexed="81"/>
            <rFont val="Tahoma"/>
            <family val="2"/>
          </rPr>
          <t>Capitalized interest and asset retirement obligations deducted from Development Costs</t>
        </r>
      </text>
    </comment>
    <comment ref="C40" authorId="0" shapeId="0">
      <text>
        <r>
          <rPr>
            <b/>
            <sz val="9"/>
            <color indexed="81"/>
            <rFont val="Tahoma"/>
            <family val="2"/>
          </rPr>
          <t>Danny Quijano:</t>
        </r>
        <r>
          <rPr>
            <sz val="9"/>
            <color indexed="81"/>
            <rFont val="Tahoma"/>
            <family val="2"/>
          </rPr>
          <t xml:space="preserve">
Spin off of California Resources on Nov, 2014  resulted in large (downward) revisions of CHK's figures compared to previous years.</t>
        </r>
      </text>
    </comment>
    <comment ref="DG40" authorId="0" shapeId="0">
      <text>
        <r>
          <rPr>
            <b/>
            <sz val="9"/>
            <color indexed="81"/>
            <rFont val="Tahoma"/>
            <family val="2"/>
          </rPr>
          <t>Danny Quijano:</t>
        </r>
        <r>
          <rPr>
            <sz val="9"/>
            <color indexed="81"/>
            <rFont val="Tahoma"/>
            <family val="2"/>
          </rPr>
          <t xml:space="preserve">
This is the price on the '14 10-k, not the '15 one. See note in cell C38.</t>
        </r>
      </text>
    </comment>
    <comment ref="C41" authorId="0" shapeId="0">
      <text>
        <r>
          <rPr>
            <b/>
            <sz val="9"/>
            <color indexed="81"/>
            <rFont val="Tahoma"/>
            <family val="2"/>
          </rPr>
          <t>Danny Quijano:</t>
        </r>
        <r>
          <rPr>
            <sz val="9"/>
            <color indexed="81"/>
            <rFont val="Tahoma"/>
            <family val="2"/>
          </rPr>
          <t xml:space="preserve">
CHK's realized gas prices in 2013 &amp; 14 were retroactively increased (dramatically) in 2015 10-k. Since quarterly data only goes back two years, I left '13 &amp; '14 data as is (since the change happend in Q4, quarterly reports began reflecting it in 2016, so the '15 10-q's still have old data for '14). I have updated '15 info with the '16 10-q's but Q3 </t>
        </r>
        <r>
          <rPr>
            <b/>
            <sz val="9"/>
            <color indexed="81"/>
            <rFont val="Tahoma"/>
            <family val="2"/>
          </rPr>
          <t>is still missing as it won't come out until later this year.</t>
        </r>
        <r>
          <rPr>
            <sz val="9"/>
            <color indexed="81"/>
            <rFont val="Tahoma"/>
            <family val="2"/>
          </rPr>
          <t xml:space="preserve"> Will finish updateing when that comes out</t>
        </r>
      </text>
    </comment>
    <comment ref="BE41" authorId="0" shapeId="0">
      <text>
        <r>
          <rPr>
            <b/>
            <sz val="9"/>
            <color indexed="81"/>
            <rFont val="Tahoma"/>
            <family val="2"/>
          </rPr>
          <t>Danny Quijano:</t>
        </r>
        <r>
          <rPr>
            <sz val="9"/>
            <color indexed="81"/>
            <rFont val="Tahoma"/>
            <family val="2"/>
          </rPr>
          <t xml:space="preserve">
Production Expenses + Gathering, Processing, and transportation Expenses</t>
        </r>
      </text>
    </comment>
    <comment ref="BO41" authorId="0" shapeId="0">
      <text>
        <r>
          <rPr>
            <b/>
            <sz val="9"/>
            <color indexed="81"/>
            <rFont val="Tahoma"/>
            <family val="2"/>
          </rPr>
          <t>Danny Quijano:</t>
        </r>
        <r>
          <rPr>
            <sz val="9"/>
            <color indexed="81"/>
            <rFont val="Tahoma"/>
            <family val="2"/>
          </rPr>
          <t xml:space="preserve">
p. 56 has breakdown
I summed the caps items and left out the lower case ones:
INTEREST EXPENSE ON SENIOR NOTES
INTEREST EXPENSE ON TERM LOAN (New in 2015)
INTEREST EXPENSE ON CREDIT FACILITIES
Realized gains on interest derivatives
Unrealized gains on interest rate derivatives
Amortization of loan discount, issuance costs and other
Capitalized interest
Should I add/subtract anything?</t>
        </r>
      </text>
    </comment>
    <comment ref="AH51" authorId="0" shapeId="0">
      <text>
        <r>
          <rPr>
            <b/>
            <sz val="9"/>
            <color indexed="81"/>
            <rFont val="Tahoma"/>
            <family val="2"/>
          </rPr>
          <t>Danny Quijano:</t>
        </r>
        <r>
          <rPr>
            <sz val="9"/>
            <color indexed="81"/>
            <rFont val="Tahoma"/>
            <family val="2"/>
          </rPr>
          <t xml:space="preserve">
All negative?</t>
        </r>
      </text>
    </comment>
    <comment ref="BE51" authorId="0" shapeId="0">
      <text>
        <r>
          <rPr>
            <b/>
            <sz val="9"/>
            <color indexed="81"/>
            <rFont val="Tahoma"/>
            <family val="2"/>
          </rPr>
          <t>Danny Quijano:</t>
        </r>
        <r>
          <rPr>
            <sz val="9"/>
            <color indexed="81"/>
            <rFont val="Tahoma"/>
            <family val="2"/>
          </rPr>
          <t xml:space="preserve">
LOE + Workover costs</t>
        </r>
      </text>
    </comment>
    <comment ref="BG51" authorId="0" shapeId="0">
      <text>
        <r>
          <rPr>
            <b/>
            <sz val="9"/>
            <color indexed="81"/>
            <rFont val="Tahoma"/>
            <family val="2"/>
          </rPr>
          <t>Danny Quijano:</t>
        </r>
        <r>
          <rPr>
            <sz val="9"/>
            <color indexed="81"/>
            <rFont val="Tahoma"/>
            <family val="2"/>
          </rPr>
          <t xml:space="preserve">
including non-cash stock-based compensation</t>
        </r>
      </text>
    </comment>
    <comment ref="BM51" authorId="0" shapeId="0">
      <text>
        <r>
          <rPr>
            <b/>
            <sz val="9"/>
            <color indexed="81"/>
            <rFont val="Tahoma"/>
            <family val="2"/>
          </rPr>
          <t>Danny Quijano:</t>
        </r>
        <r>
          <rPr>
            <sz val="9"/>
            <color indexed="81"/>
            <rFont val="Tahoma"/>
            <family val="2"/>
          </rPr>
          <t xml:space="preserve">
Ad velorem + Production taxes</t>
        </r>
      </text>
    </comment>
    <comment ref="BP51" authorId="0" shapeId="0">
      <text>
        <r>
          <rPr>
            <b/>
            <sz val="9"/>
            <color indexed="81"/>
            <rFont val="Tahoma"/>
            <family val="2"/>
          </rPr>
          <t>Danny Quijano:</t>
        </r>
        <r>
          <rPr>
            <sz val="9"/>
            <color indexed="81"/>
            <rFont val="Tahoma"/>
            <family val="2"/>
          </rPr>
          <t xml:space="preserve">
Note on Debt. 
Cash Payments fo Interest (this does not include capitalized)
</t>
        </r>
      </text>
    </comment>
    <comment ref="DG51" authorId="0" shapeId="0">
      <text>
        <r>
          <rPr>
            <b/>
            <sz val="9"/>
            <color indexed="81"/>
            <rFont val="Tahoma"/>
            <family val="2"/>
          </rPr>
          <t>Danny Quijano:</t>
        </r>
        <r>
          <rPr>
            <sz val="9"/>
            <color indexed="81"/>
            <rFont val="Tahoma"/>
            <family val="2"/>
          </rPr>
          <t xml:space="preserve">
Includes derivatives</t>
        </r>
      </text>
    </comment>
    <comment ref="DV51" authorId="0" shapeId="0">
      <text>
        <r>
          <rPr>
            <b/>
            <sz val="9"/>
            <color indexed="81"/>
            <rFont val="Tahoma"/>
            <family val="2"/>
          </rPr>
          <t>Danny Quijano:</t>
        </r>
        <r>
          <rPr>
            <sz val="9"/>
            <color indexed="81"/>
            <rFont val="Tahoma"/>
            <family val="2"/>
          </rPr>
          <t xml:space="preserve">
Including effects of derivatives</t>
        </r>
      </text>
    </comment>
    <comment ref="U54" authorId="0" shapeId="0">
      <text>
        <r>
          <rPr>
            <b/>
            <sz val="9"/>
            <color indexed="81"/>
            <rFont val="Tahoma"/>
            <family val="2"/>
          </rPr>
          <t>Danny Quijano:</t>
        </r>
        <r>
          <rPr>
            <sz val="9"/>
            <color indexed="81"/>
            <rFont val="Tahoma"/>
            <family val="2"/>
          </rPr>
          <t xml:space="preserve">
Didn''t separate NGLs out in 07 and 08</t>
        </r>
      </text>
    </comment>
    <comment ref="BE55" authorId="1" shapeId="0">
      <text>
        <r>
          <rPr>
            <b/>
            <sz val="8"/>
            <color indexed="81"/>
            <rFont val="Tahoma"/>
            <family val="2"/>
          </rPr>
          <t>REMOVED: Other Related expenses. "Include foreign currency transaction gains and losses and other miscellaneous expenses"</t>
        </r>
      </text>
    </comment>
    <comment ref="A58" authorId="1" shapeId="0">
      <text>
        <r>
          <rPr>
            <b/>
            <sz val="8"/>
            <color indexed="81"/>
            <rFont val="Tahoma"/>
            <family val="2"/>
          </rPr>
          <t>DMQ
"On April 30, 2012, we completed the separation of our downstream businesses into an independent, publicly traded company, Phillips 66"</t>
        </r>
      </text>
    </comment>
    <comment ref="CP58" authorId="0" shapeId="0">
      <text>
        <r>
          <rPr>
            <b/>
            <sz val="9"/>
            <color indexed="81"/>
            <rFont val="Tahoma"/>
            <family val="2"/>
          </rPr>
          <t>Danny Quijano:</t>
        </r>
        <r>
          <rPr>
            <sz val="9"/>
            <color indexed="81"/>
            <rFont val="Tahoma"/>
            <family val="2"/>
          </rPr>
          <t xml:space="preserve">
Notes say: 190MM assets available for sale in Kaz (57) and Nigeria (133). These amounts have been left in for now</t>
        </r>
      </text>
    </comment>
    <comment ref="BO59" authorId="1" shapeId="0">
      <text>
        <r>
          <rPr>
            <b/>
            <sz val="8"/>
            <color indexed="81"/>
            <rFont val="Tahoma"/>
            <family val="2"/>
          </rPr>
          <t>p. 132 
Incurred Debt and Incurred Other "Interest and Debt Expense"</t>
        </r>
      </text>
    </comment>
    <comment ref="CP59" authorId="0" shapeId="0">
      <text>
        <r>
          <rPr>
            <b/>
            <sz val="9"/>
            <color indexed="81"/>
            <rFont val="Tahoma"/>
            <family val="2"/>
          </rPr>
          <t>Danny Quijano:</t>
        </r>
        <r>
          <rPr>
            <sz val="9"/>
            <color indexed="81"/>
            <rFont val="Tahoma"/>
            <family val="2"/>
          </rPr>
          <t xml:space="preserve">
Notes say: 57MM from assets available for sale in Kaz. Left in for now
</t>
        </r>
      </text>
    </comment>
    <comment ref="N61" authorId="0" shapeId="0">
      <text>
        <r>
          <rPr>
            <b/>
            <sz val="9"/>
            <color indexed="81"/>
            <rFont val="Tahoma"/>
            <family val="2"/>
          </rPr>
          <t>Danny Quijano:</t>
        </r>
        <r>
          <rPr>
            <sz val="9"/>
            <color indexed="81"/>
            <rFont val="Tahoma"/>
            <family val="2"/>
          </rPr>
          <t xml:space="preserve">
Includes data from equity affiliates
</t>
        </r>
      </text>
    </comment>
    <comment ref="BO69" authorId="0" shapeId="0">
      <text>
        <r>
          <rPr>
            <b/>
            <sz val="9"/>
            <color indexed="81"/>
            <rFont val="Tahoma"/>
            <family val="2"/>
          </rPr>
          <t>Danny Quijano:</t>
        </r>
        <r>
          <rPr>
            <sz val="9"/>
            <color indexed="81"/>
            <rFont val="Tahoma"/>
            <family val="2"/>
          </rPr>
          <t xml:space="preserve">
See waterfalls for calcs- sum of debt*interets rates</t>
        </r>
      </text>
    </comment>
    <comment ref="BR69" authorId="0" shapeId="0">
      <text>
        <r>
          <rPr>
            <b/>
            <sz val="9"/>
            <color indexed="81"/>
            <rFont val="Tahoma"/>
            <family val="2"/>
          </rPr>
          <t>Danny Quijano:</t>
        </r>
        <r>
          <rPr>
            <sz val="9"/>
            <color indexed="81"/>
            <rFont val="Tahoma"/>
            <family val="2"/>
          </rPr>
          <t xml:space="preserve">
Crude Oil and Natural Gas Property Information</t>
        </r>
      </text>
    </comment>
    <comment ref="BE71" authorId="0" shapeId="0">
      <text>
        <r>
          <rPr>
            <b/>
            <sz val="9"/>
            <color indexed="81"/>
            <rFont val="Tahoma"/>
            <family val="2"/>
          </rPr>
          <t>Danny Quijano:</t>
        </r>
        <r>
          <rPr>
            <sz val="9"/>
            <color indexed="81"/>
            <rFont val="Tahoma"/>
            <family val="2"/>
          </rPr>
          <t xml:space="preserve">
Crude Oil and Natural Gas Property Information</t>
        </r>
      </text>
    </comment>
    <comment ref="BM71" authorId="0" shapeId="0">
      <text>
        <r>
          <rPr>
            <b/>
            <sz val="9"/>
            <color indexed="81"/>
            <rFont val="Tahoma"/>
            <family val="2"/>
          </rPr>
          <t>Danny Quijano:</t>
        </r>
        <r>
          <rPr>
            <sz val="9"/>
            <color indexed="81"/>
            <rFont val="Tahoma"/>
            <family val="2"/>
          </rPr>
          <t xml:space="preserve">
productino taxes and other expenses</t>
        </r>
      </text>
    </comment>
    <comment ref="AC78" authorId="0" shapeId="0">
      <text>
        <r>
          <rPr>
            <b/>
            <sz val="9"/>
            <color indexed="81"/>
            <rFont val="Tahoma"/>
            <family val="2"/>
          </rPr>
          <t>Danny Quijano:</t>
        </r>
        <r>
          <rPr>
            <sz val="9"/>
            <color indexed="81"/>
            <rFont val="Tahoma"/>
            <family val="2"/>
          </rPr>
          <t xml:space="preserve">
Revisions due to price: (831)
Revisions other than price: (287)
</t>
        </r>
      </text>
    </comment>
    <comment ref="BO79" authorId="1" shapeId="0">
      <text>
        <r>
          <rPr>
            <b/>
            <sz val="8"/>
            <color indexed="81"/>
            <rFont val="Tahoma"/>
            <family val="2"/>
          </rPr>
          <t>Interest based on debt outstanding (p. 78). Add 'Other fees and expenses'?</t>
        </r>
      </text>
    </comment>
    <comment ref="U88" authorId="0" shapeId="0">
      <text>
        <r>
          <rPr>
            <b/>
            <sz val="9"/>
            <color indexed="81"/>
            <rFont val="Tahoma"/>
            <family val="2"/>
          </rPr>
          <t>Danny Quijano:</t>
        </r>
        <r>
          <rPr>
            <sz val="9"/>
            <color indexed="81"/>
            <rFont val="Tahoma"/>
            <family val="2"/>
          </rPr>
          <t xml:space="preserve">
NGLS not separated out before 2013
</t>
        </r>
      </text>
    </comment>
    <comment ref="AC88" authorId="0" shapeId="0">
      <text>
        <r>
          <rPr>
            <b/>
            <sz val="9"/>
            <color indexed="81"/>
            <rFont val="Tahoma"/>
            <family val="2"/>
          </rPr>
          <t>Danny Quijano:</t>
        </r>
        <r>
          <rPr>
            <sz val="9"/>
            <color indexed="81"/>
            <rFont val="Tahoma"/>
            <family val="2"/>
          </rPr>
          <t xml:space="preserve">
Revisions and improved recovery (included a reduction of 4,589 Bcf due to significantly lower 12-month average historical natural gas prices, partially offset by additions of 1,391 Bcf for technical revisions and improved recovery). 
US revisions: -1,707
Canada revisions: -1,497</t>
        </r>
      </text>
    </comment>
    <comment ref="D89" authorId="1" shapeId="0">
      <text>
        <r>
          <rPr>
            <b/>
            <sz val="8"/>
            <color indexed="81"/>
            <rFont val="Tahoma"/>
            <family val="2"/>
          </rPr>
          <t>DMQ
'Forecast prices and costs; after royalties'</t>
        </r>
      </text>
    </comment>
    <comment ref="A90" authorId="0" shapeId="0">
      <text>
        <r>
          <rPr>
            <b/>
            <sz val="9"/>
            <color indexed="81"/>
            <rFont val="Tahoma"/>
            <family val="2"/>
          </rPr>
          <t>Danny Quijano:</t>
        </r>
        <r>
          <rPr>
            <sz val="9"/>
            <color indexed="81"/>
            <rFont val="Tahoma"/>
            <family val="2"/>
          </rPr>
          <t xml:space="preserve">
Acquisition of Athlon for $5.9B</t>
        </r>
      </text>
    </comment>
    <comment ref="BE90" authorId="0" shapeId="0">
      <text>
        <r>
          <rPr>
            <b/>
            <sz val="9"/>
            <color indexed="81"/>
            <rFont val="Tahoma"/>
            <family val="2"/>
          </rPr>
          <t>Danny Quijano:</t>
        </r>
        <r>
          <rPr>
            <sz val="9"/>
            <color indexed="81"/>
            <rFont val="Tahoma"/>
            <family val="2"/>
          </rPr>
          <t xml:space="preserve">
From Operating Cash flow under USA Operations</t>
        </r>
      </text>
    </comment>
    <comment ref="BO91" authorId="0" shapeId="0">
      <text>
        <r>
          <rPr>
            <b/>
            <sz val="9"/>
            <color indexed="81"/>
            <rFont val="Tahoma"/>
            <family val="2"/>
          </rPr>
          <t>Danny Quijano:</t>
        </r>
        <r>
          <rPr>
            <sz val="9"/>
            <color indexed="81"/>
            <rFont val="Tahoma"/>
            <family val="2"/>
          </rPr>
          <t xml:space="preserve">
"Interest expense on:"
Debt</t>
        </r>
      </text>
    </comment>
    <comment ref="CQ91" authorId="0" shapeId="0">
      <text>
        <r>
          <rPr>
            <b/>
            <sz val="9"/>
            <color indexed="81"/>
            <rFont val="Tahoma"/>
            <family val="2"/>
          </rPr>
          <t>Danny Quijano:</t>
        </r>
        <r>
          <rPr>
            <sz val="9"/>
            <color indexed="81"/>
            <rFont val="Tahoma"/>
            <family val="2"/>
          </rPr>
          <t xml:space="preserve">
US only
additional 334 for Canada
</t>
        </r>
      </text>
    </comment>
    <comment ref="CS92" authorId="0" shapeId="0">
      <text>
        <r>
          <rPr>
            <b/>
            <sz val="9"/>
            <color indexed="81"/>
            <rFont val="Tahoma"/>
            <family val="2"/>
          </rPr>
          <t>Danny Quijano:</t>
        </r>
        <r>
          <rPr>
            <sz val="9"/>
            <color indexed="81"/>
            <rFont val="Tahoma"/>
            <family val="2"/>
          </rPr>
          <t xml:space="preserve">
Did not release quarterly price data for 2016 so I prorated annual figures </t>
        </r>
      </text>
    </comment>
    <comment ref="AT95" authorId="1" shapeId="0">
      <text>
        <r>
          <rPr>
            <b/>
            <sz val="8"/>
            <color indexed="81"/>
            <rFont val="Tahoma"/>
            <family val="2"/>
          </rPr>
          <t xml:space="preserve">DMQ
Proved reserves included a non-cash acquisition cost of $353MM related to a property exchanfe transaction. That amount has been left in.
</t>
        </r>
      </text>
    </comment>
    <comment ref="U97" authorId="0" shapeId="0">
      <text>
        <r>
          <rPr>
            <b/>
            <sz val="9"/>
            <color indexed="81"/>
            <rFont val="Tahoma"/>
            <family val="2"/>
          </rPr>
          <t>Danny Quijano:</t>
        </r>
        <r>
          <rPr>
            <sz val="9"/>
            <color indexed="81"/>
            <rFont val="Tahoma"/>
            <family val="2"/>
          </rPr>
          <t xml:space="preserve">
NGLS not separated out before 2012
</t>
        </r>
      </text>
    </comment>
    <comment ref="AC98" authorId="0" shapeId="0">
      <text>
        <r>
          <rPr>
            <b/>
            <sz val="9"/>
            <color indexed="81"/>
            <rFont val="Tahoma"/>
            <family val="2"/>
          </rPr>
          <t>Danny Quijano:</t>
        </r>
        <r>
          <rPr>
            <sz val="9"/>
            <color indexed="81"/>
            <rFont val="Tahoma"/>
            <family val="2"/>
          </rPr>
          <t xml:space="preserve">
Revisions of previous estimates of negative 393 MMBoe for 2012 included a negative revision of 531 MMBoe primarily due to a decrease in the average natural gas price used in the December 31, 2012 reserves estimation as compared to the price used in the prior year estimate.  The primary plays affected were the Horn River, Haynesville, Barnett Shale and Marcellus Shale.  Revisions other than price resulted from revisions for certain crude oil and natural gas properties in the United States</t>
        </r>
      </text>
    </comment>
    <comment ref="BO101" authorId="0" shapeId="0">
      <text>
        <r>
          <rPr>
            <b/>
            <sz val="9"/>
            <color indexed="81"/>
            <rFont val="Tahoma"/>
            <family val="2"/>
          </rPr>
          <t>Danny Quijano:</t>
        </r>
        <r>
          <rPr>
            <sz val="9"/>
            <color indexed="81"/>
            <rFont val="Tahoma"/>
            <family val="2"/>
          </rPr>
          <t xml:space="preserve">
Interest expense incurred (income statement)</t>
        </r>
      </text>
    </comment>
    <comment ref="AT106" authorId="0" shapeId="0">
      <text>
        <r>
          <rPr>
            <b/>
            <sz val="9"/>
            <color indexed="81"/>
            <rFont val="Tahoma"/>
            <family val="2"/>
          </rPr>
          <t>Danny Quijano:</t>
        </r>
        <r>
          <rPr>
            <sz val="9"/>
            <color indexed="81"/>
            <rFont val="Tahoma"/>
            <family val="2"/>
          </rPr>
          <t xml:space="preserve">
652 million is noncash- mostly thru issuance of stock</t>
        </r>
      </text>
    </comment>
    <comment ref="BM106" authorId="0" shapeId="0">
      <text>
        <r>
          <rPr>
            <b/>
            <sz val="9"/>
            <color indexed="81"/>
            <rFont val="Tahoma"/>
            <family val="2"/>
          </rPr>
          <t>Danny Quijano:</t>
        </r>
        <r>
          <rPr>
            <sz val="9"/>
            <color indexed="81"/>
            <rFont val="Tahoma"/>
            <family val="2"/>
          </rPr>
          <t xml:space="preserve">
2010 and 2009- production taxes are included in production costs</t>
        </r>
      </text>
    </comment>
    <comment ref="C110" authorId="0" shapeId="0">
      <text>
        <r>
          <rPr>
            <b/>
            <sz val="9"/>
            <color indexed="81"/>
            <rFont val="Tahoma"/>
            <family val="2"/>
          </rPr>
          <t>Danny Quijano:</t>
        </r>
        <r>
          <rPr>
            <sz val="9"/>
            <color indexed="81"/>
            <rFont val="Tahoma"/>
            <family val="2"/>
          </rPr>
          <t xml:space="preserve">
Divested downstream</t>
        </r>
      </text>
    </comment>
    <comment ref="AV110" authorId="0" shapeId="0">
      <text>
        <r>
          <rPr>
            <b/>
            <sz val="9"/>
            <color indexed="81"/>
            <rFont val="Tahoma"/>
            <family val="2"/>
          </rPr>
          <t>Danny Quijano:</t>
        </r>
        <r>
          <rPr>
            <sz val="9"/>
            <color indexed="81"/>
            <rFont val="Tahoma"/>
            <family val="2"/>
          </rPr>
          <t xml:space="preserve">
Really high ARO</t>
        </r>
      </text>
    </comment>
    <comment ref="AW111" authorId="0" shapeId="0">
      <text>
        <r>
          <rPr>
            <b/>
            <sz val="9"/>
            <color indexed="81"/>
            <rFont val="Tahoma"/>
            <family val="2"/>
          </rPr>
          <t>Danny Quijano:</t>
        </r>
        <r>
          <rPr>
            <sz val="9"/>
            <color indexed="81"/>
            <rFont val="Tahoma"/>
            <family val="2"/>
          </rPr>
          <t xml:space="preserve">
Don't know if all AROs in note is for US only but I treated it as if it is</t>
        </r>
      </text>
    </comment>
    <comment ref="BG111" authorId="0" shapeId="0">
      <text>
        <r>
          <rPr>
            <b/>
            <sz val="9"/>
            <color indexed="81"/>
            <rFont val="Tahoma"/>
            <family val="2"/>
          </rPr>
          <t>Danny Quijano:</t>
        </r>
        <r>
          <rPr>
            <sz val="9"/>
            <color indexed="81"/>
            <rFont val="Tahoma"/>
            <family val="2"/>
          </rPr>
          <t xml:space="preserve">
G&amp;A + Bakken Midstream tariffs</t>
        </r>
      </text>
    </comment>
    <comment ref="BO111" authorId="0" shapeId="0">
      <text>
        <r>
          <rPr>
            <b/>
            <sz val="9"/>
            <color indexed="81"/>
            <rFont val="Tahoma"/>
            <family val="2"/>
          </rPr>
          <t>Danny Quijano:</t>
        </r>
        <r>
          <rPr>
            <sz val="9"/>
            <color indexed="81"/>
            <rFont val="Tahoma"/>
            <family val="2"/>
          </rPr>
          <t xml:space="preserve">
Corporate, Interest and Other under results of operations</t>
        </r>
      </text>
    </comment>
    <comment ref="BR111" authorId="0" shapeId="0">
      <text>
        <r>
          <rPr>
            <b/>
            <sz val="9"/>
            <color indexed="81"/>
            <rFont val="Tahoma"/>
            <family val="2"/>
          </rPr>
          <t>Danny Quijano:</t>
        </r>
        <r>
          <rPr>
            <sz val="9"/>
            <color indexed="81"/>
            <rFont val="Tahoma"/>
            <family val="2"/>
          </rPr>
          <t xml:space="preserve">
Crude oil and ngl sales + natural gas sales (including sales of purchased gas)</t>
        </r>
      </text>
    </comment>
    <comment ref="DG111" authorId="0" shapeId="0">
      <text>
        <r>
          <rPr>
            <b/>
            <sz val="9"/>
            <color indexed="81"/>
            <rFont val="Tahoma"/>
            <family val="2"/>
          </rPr>
          <t>Danny Quijano:</t>
        </r>
        <r>
          <rPr>
            <sz val="9"/>
            <color indexed="81"/>
            <rFont val="Tahoma"/>
            <family val="2"/>
          </rPr>
          <t xml:space="preserve">
Does not specify whether hedging is included or not.</t>
        </r>
      </text>
    </comment>
    <comment ref="DV111" authorId="0" shapeId="0">
      <text>
        <r>
          <rPr>
            <b/>
            <sz val="9"/>
            <color indexed="81"/>
            <rFont val="Tahoma"/>
            <family val="2"/>
          </rPr>
          <t>Danny Quijano:</t>
        </r>
        <r>
          <rPr>
            <sz val="9"/>
            <color indexed="81"/>
            <rFont val="Tahoma"/>
            <family val="2"/>
          </rPr>
          <t xml:space="preserve">
Average selling price including hedging </t>
        </r>
      </text>
    </comment>
    <comment ref="EK111" authorId="0" shapeId="0">
      <text>
        <r>
          <rPr>
            <b/>
            <sz val="9"/>
            <color indexed="81"/>
            <rFont val="Tahoma"/>
            <family val="2"/>
          </rPr>
          <t>Danny Quijano:</t>
        </r>
        <r>
          <rPr>
            <sz val="9"/>
            <color indexed="81"/>
            <rFont val="Tahoma"/>
            <family val="2"/>
          </rPr>
          <t xml:space="preserve">
Does not specify whether hedging is included or not.</t>
        </r>
      </text>
    </comment>
    <comment ref="C112" authorId="0" shapeId="0">
      <text>
        <r>
          <rPr>
            <b/>
            <sz val="9"/>
            <color indexed="81"/>
            <rFont val="Tahoma"/>
            <family val="2"/>
          </rPr>
          <t>Danny Quijano:</t>
        </r>
        <r>
          <rPr>
            <sz val="9"/>
            <color indexed="81"/>
            <rFont val="Tahoma"/>
            <family val="2"/>
          </rPr>
          <t xml:space="preserve">
Started separating out NGLs </t>
        </r>
      </text>
    </comment>
    <comment ref="U117" authorId="0" shapeId="0">
      <text>
        <r>
          <rPr>
            <b/>
            <sz val="9"/>
            <color indexed="81"/>
            <rFont val="Tahoma"/>
            <family val="2"/>
          </rPr>
          <t>Danny Quijano:</t>
        </r>
        <r>
          <rPr>
            <sz val="9"/>
            <color indexed="81"/>
            <rFont val="Tahoma"/>
            <family val="2"/>
          </rPr>
          <t xml:space="preserve">
Not separated out</t>
        </r>
      </text>
    </comment>
    <comment ref="F118" authorId="0" shapeId="0">
      <text>
        <r>
          <rPr>
            <b/>
            <sz val="9"/>
            <color indexed="81"/>
            <rFont val="Tahoma"/>
            <family val="2"/>
          </rPr>
          <t>Danny Quijano:</t>
        </r>
        <r>
          <rPr>
            <sz val="9"/>
            <color indexed="81"/>
            <rFont val="Tahoma"/>
            <family val="2"/>
          </rPr>
          <t xml:space="preserve">
didn't separate out NGLs
Just has a section saying "Included in our liquid hydrocarbon reserves are NGLs which represent approximately 7 percent, 6 percent and 5 percent of our total proved reserves on an oil equivalent barrel basis as of December 2013, 2012 and 2011. Approximately 72 percent, 63 percent and 40 percent of those NGL reserves are associated with our U.S. unconventional resource plays as of December 31, 2013, 2012 and 2011."</t>
        </r>
      </text>
    </comment>
    <comment ref="J121" authorId="0" shapeId="0">
      <text>
        <r>
          <rPr>
            <b/>
            <sz val="9"/>
            <color indexed="81"/>
            <rFont val="Tahoma"/>
            <family val="2"/>
          </rPr>
          <t>Danny Quijano:</t>
        </r>
        <r>
          <rPr>
            <sz val="9"/>
            <color indexed="81"/>
            <rFont val="Tahoma"/>
            <family val="2"/>
          </rPr>
          <t xml:space="preserve">
Includes synthetic crude oil</t>
        </r>
      </text>
    </comment>
    <comment ref="BM121" authorId="0" shapeId="0">
      <text>
        <r>
          <rPr>
            <b/>
            <sz val="9"/>
            <color indexed="81"/>
            <rFont val="Tahoma"/>
            <family val="2"/>
          </rPr>
          <t>Danny Quijano:</t>
        </r>
        <r>
          <rPr>
            <sz val="9"/>
            <color indexed="81"/>
            <rFont val="Tahoma"/>
            <family val="2"/>
          </rPr>
          <t xml:space="preserve">
Not listed in supplementals- included in prodution costs?</t>
        </r>
      </text>
    </comment>
    <comment ref="AA127" authorId="0" shapeId="0">
      <text>
        <r>
          <rPr>
            <b/>
            <sz val="9"/>
            <color indexed="81"/>
            <rFont val="Tahoma"/>
            <family val="2"/>
          </rPr>
          <t>Danny Quijano:</t>
        </r>
        <r>
          <rPr>
            <sz val="9"/>
            <color indexed="81"/>
            <rFont val="Tahoma"/>
            <family val="2"/>
          </rPr>
          <t xml:space="preserve">
Spin off of California Resources</t>
        </r>
      </text>
    </comment>
    <comment ref="BO127" authorId="0" shapeId="0">
      <text>
        <r>
          <rPr>
            <b/>
            <sz val="9"/>
            <color indexed="81"/>
            <rFont val="Tahoma"/>
            <family val="2"/>
          </rPr>
          <t>Danny Quijano:</t>
        </r>
        <r>
          <rPr>
            <sz val="9"/>
            <color indexed="81"/>
            <rFont val="Tahoma"/>
            <family val="2"/>
          </rPr>
          <t xml:space="preserve">
No capitalized interest info for these years</t>
        </r>
      </text>
    </comment>
    <comment ref="BO129" authorId="0" shapeId="0">
      <text>
        <r>
          <rPr>
            <b/>
            <sz val="8"/>
            <color indexed="81"/>
            <rFont val="Tahoma"/>
            <family val="2"/>
          </rPr>
          <t>Danny Quijano:</t>
        </r>
        <r>
          <rPr>
            <sz val="8"/>
            <color indexed="81"/>
            <rFont val="Tahoma"/>
            <family val="2"/>
          </rPr>
          <t xml:space="preserve">
Note 1 &gt; Supplemental Csh Flow Info Add back in capitalized interest
</t>
        </r>
      </text>
    </comment>
    <comment ref="A130" authorId="0" shapeId="0">
      <text>
        <r>
          <rPr>
            <b/>
            <sz val="9"/>
            <color indexed="81"/>
            <rFont val="Tahoma"/>
            <family val="2"/>
          </rPr>
          <t>Danny Quijano:</t>
        </r>
        <r>
          <rPr>
            <sz val="9"/>
            <color indexed="81"/>
            <rFont val="Tahoma"/>
            <family val="2"/>
          </rPr>
          <t xml:space="preserve">
Lots of revisions to previous years in this 10-k. due to Spin-off of California Resources</t>
        </r>
      </text>
    </comment>
    <comment ref="BE130" authorId="0" shapeId="0">
      <text>
        <r>
          <rPr>
            <b/>
            <sz val="9"/>
            <color indexed="81"/>
            <rFont val="Tahoma"/>
            <family val="2"/>
          </rPr>
          <t>Danny Quijano:</t>
        </r>
        <r>
          <rPr>
            <sz val="9"/>
            <color indexed="81"/>
            <rFont val="Tahoma"/>
            <family val="2"/>
          </rPr>
          <t xml:space="preserve">
Production costs + other operating expenses</t>
        </r>
      </text>
    </comment>
    <comment ref="BI130" authorId="0" shapeId="0">
      <text>
        <r>
          <rPr>
            <b/>
            <sz val="9"/>
            <color indexed="81"/>
            <rFont val="Tahoma"/>
            <family val="2"/>
          </rPr>
          <t>Danny Quijano:</t>
        </r>
        <r>
          <rPr>
            <sz val="9"/>
            <color indexed="81"/>
            <rFont val="Tahoma"/>
            <family val="2"/>
          </rPr>
          <t xml:space="preserve">
See Supplemental cash flow inforamtion under note 1</t>
        </r>
      </text>
    </comment>
    <comment ref="AT133" authorId="1" shapeId="0">
      <text>
        <r>
          <rPr>
            <b/>
            <sz val="8"/>
            <color indexed="81"/>
            <rFont val="Tahoma"/>
            <family val="2"/>
          </rPr>
          <t xml:space="preserve">DMQ
</t>
        </r>
        <r>
          <rPr>
            <sz val="8"/>
            <color indexed="81"/>
            <rFont val="Tahoma"/>
            <family val="2"/>
          </rPr>
          <t>The Asset retirement obligations do not specify how much should be allocated to US. Miranda (and I) subtracted the whole amount for all data from US</t>
        </r>
      </text>
    </comment>
    <comment ref="AA139" authorId="0" shapeId="0">
      <text>
        <r>
          <rPr>
            <b/>
            <sz val="9"/>
            <color indexed="81"/>
            <rFont val="Tahoma"/>
            <family val="2"/>
          </rPr>
          <t>Danny Quijano:</t>
        </r>
        <r>
          <rPr>
            <sz val="9"/>
            <color indexed="81"/>
            <rFont val="Tahoma"/>
            <family val="2"/>
          </rPr>
          <t xml:space="preserve">
Change in reporting from 2014-2015.</t>
        </r>
      </text>
    </comment>
    <comment ref="BP139" authorId="0" shapeId="0">
      <text>
        <r>
          <rPr>
            <b/>
            <sz val="8"/>
            <color indexed="81"/>
            <rFont val="Tahoma"/>
            <family val="2"/>
          </rPr>
          <t>Danny Quijano:</t>
        </r>
        <r>
          <rPr>
            <sz val="8"/>
            <color indexed="81"/>
            <rFont val="Tahoma"/>
            <family val="2"/>
          </rPr>
          <t xml:space="preserve">
Note G: Interest Incurred</t>
        </r>
      </text>
    </comment>
    <comment ref="AT143" authorId="1" shapeId="0">
      <text>
        <r>
          <rPr>
            <b/>
            <sz val="8"/>
            <color indexed="81"/>
            <rFont val="Tahoma"/>
            <family val="2"/>
          </rPr>
          <t>DMQ</t>
        </r>
        <r>
          <rPr>
            <sz val="8"/>
            <color indexed="81"/>
            <rFont val="Tahoma"/>
            <family val="2"/>
          </rPr>
          <t xml:space="preserve">
Ther's a line item called 'Acerage purchase' which doesn't specify between (un)proved. Added it to unproved. </t>
        </r>
      </text>
    </comment>
    <comment ref="BE145" authorId="1" shapeId="0">
      <text>
        <r>
          <rPr>
            <b/>
            <sz val="8"/>
            <color indexed="81"/>
            <rFont val="Tahoma"/>
            <family val="2"/>
          </rPr>
          <t>DMQ
Figures found in MD&amp;A under costs &amp; expenses: Direct Operating + Transportation</t>
        </r>
      </text>
    </comment>
    <comment ref="A146" authorId="1" shapeId="0">
      <text>
        <r>
          <rPr>
            <b/>
            <sz val="8"/>
            <color indexed="81"/>
            <rFont val="Tahoma"/>
            <family val="2"/>
          </rPr>
          <t>DMQ
Once it's decided what to do with total capital make sure to look at Range</t>
        </r>
      </text>
    </comment>
    <comment ref="BP149" authorId="0" shapeId="0">
      <text>
        <r>
          <rPr>
            <b/>
            <sz val="8"/>
            <color indexed="81"/>
            <rFont val="Tahoma"/>
            <family val="2"/>
          </rPr>
          <t>Danny Quijano:</t>
        </r>
        <r>
          <rPr>
            <sz val="8"/>
            <color indexed="81"/>
            <rFont val="Tahoma"/>
            <family val="2"/>
          </rPr>
          <t xml:space="preserve">
Interest expense (RRC doesn't capitalize interest(</t>
        </r>
      </text>
    </comment>
    <comment ref="BE155" authorId="1" shapeId="0">
      <text>
        <r>
          <rPr>
            <b/>
            <sz val="8"/>
            <color indexed="81"/>
            <rFont val="Tahoma"/>
            <family val="2"/>
          </rPr>
          <t>Multiple</t>
        </r>
      </text>
    </comment>
    <comment ref="BG155" authorId="0" shapeId="0">
      <text>
        <r>
          <rPr>
            <b/>
            <sz val="8"/>
            <color indexed="81"/>
            <rFont val="Tahoma"/>
            <family val="2"/>
          </rPr>
          <t>Danny Quijano:</t>
        </r>
        <r>
          <rPr>
            <sz val="8"/>
            <color indexed="81"/>
            <rFont val="Tahoma"/>
            <family val="2"/>
          </rPr>
          <t xml:space="preserve">
Multiple
</t>
        </r>
      </text>
    </comment>
    <comment ref="BO160" authorId="0" shapeId="0">
      <text>
        <r>
          <rPr>
            <b/>
            <sz val="9"/>
            <color indexed="81"/>
            <rFont val="Tahoma"/>
            <family val="2"/>
          </rPr>
          <t>Danny Quijano:</t>
        </r>
        <r>
          <rPr>
            <sz val="9"/>
            <color indexed="81"/>
            <rFont val="Tahoma"/>
            <family val="2"/>
          </rPr>
          <t xml:space="preserve">
Interest on debt (only on 2014 10-k)</t>
        </r>
      </text>
    </comment>
  </commentList>
</comments>
</file>

<file path=xl/comments2.xml><?xml version="1.0" encoding="utf-8"?>
<comments xmlns="http://schemas.openxmlformats.org/spreadsheetml/2006/main">
  <authors>
    <author>Danny Quijano</author>
  </authors>
  <commentList>
    <comment ref="U18" authorId="0" shapeId="0">
      <text>
        <r>
          <rPr>
            <b/>
            <sz val="9"/>
            <color indexed="81"/>
            <rFont val="Tahoma"/>
            <family val="2"/>
          </rPr>
          <t>Danny Quijano:</t>
        </r>
        <r>
          <rPr>
            <sz val="9"/>
            <color indexed="81"/>
            <rFont val="Tahoma"/>
            <family val="2"/>
          </rPr>
          <t xml:space="preserve">
Described as "average realization." Unclear as to whether or not data includea effect of hedging.</t>
        </r>
      </text>
    </comment>
    <comment ref="V18" authorId="0" shapeId="0">
      <text>
        <r>
          <rPr>
            <b/>
            <sz val="9"/>
            <color indexed="81"/>
            <rFont val="Tahoma"/>
            <family val="2"/>
          </rPr>
          <t>Danny Quijano:</t>
        </r>
        <r>
          <rPr>
            <sz val="9"/>
            <color indexed="81"/>
            <rFont val="Tahoma"/>
            <family val="2"/>
          </rPr>
          <t xml:space="preserve">
Does not include the effect of derivatives</t>
        </r>
      </text>
    </comment>
    <comment ref="U19" authorId="0" shapeId="0">
      <text>
        <r>
          <rPr>
            <b/>
            <sz val="9"/>
            <color indexed="81"/>
            <rFont val="Tahoma"/>
            <family val="2"/>
          </rPr>
          <t>Danny Quijano:</t>
        </r>
        <r>
          <rPr>
            <sz val="9"/>
            <color indexed="81"/>
            <rFont val="Tahoma"/>
            <family val="2"/>
          </rPr>
          <t xml:space="preserve">
Not sure if effects of derivatives accounted for.
If you sum up the daily production amounts of the 'Lower 48' region and 'Alaska' region, it does not equal the production figure in the supplementals. Could be that the daily info is from continuing operations...</t>
        </r>
      </text>
    </comment>
    <comment ref="V19" authorId="0" shapeId="0">
      <text>
        <r>
          <rPr>
            <b/>
            <sz val="9"/>
            <color indexed="81"/>
            <rFont val="Tahoma"/>
            <family val="2"/>
          </rPr>
          <t>Danny Quijano:</t>
        </r>
        <r>
          <rPr>
            <sz val="9"/>
            <color indexed="81"/>
            <rFont val="Tahoma"/>
            <family val="2"/>
          </rPr>
          <t xml:space="preserve">
XOM does not provide quarterly data</t>
        </r>
      </text>
    </comment>
    <comment ref="W19" authorId="0" shapeId="0">
      <text>
        <r>
          <rPr>
            <b/>
            <sz val="9"/>
            <color indexed="81"/>
            <rFont val="Tahoma"/>
            <family val="2"/>
          </rPr>
          <t>Danny Quijano:</t>
        </r>
        <r>
          <rPr>
            <sz val="9"/>
            <color indexed="81"/>
            <rFont val="Tahoma"/>
            <family val="2"/>
          </rPr>
          <t xml:space="preserve">
See note. The price I got from the 10-k was "Average realized gas price per MCF, including hedges," but the footnote copied in the note is confusing</t>
        </r>
      </text>
    </comment>
    <comment ref="V20" authorId="0" shapeId="0">
      <text>
        <r>
          <rPr>
            <b/>
            <sz val="9"/>
            <color indexed="81"/>
            <rFont val="Tahoma"/>
            <family val="2"/>
          </rPr>
          <t>Danny Quijano:</t>
        </r>
        <r>
          <rPr>
            <sz val="9"/>
            <color indexed="81"/>
            <rFont val="Tahoma"/>
            <family val="2"/>
          </rPr>
          <t xml:space="preserve">
Does not specify if it's with or without hedging</t>
        </r>
      </text>
    </comment>
    <comment ref="U21" authorId="0" shapeId="0">
      <text>
        <r>
          <rPr>
            <b/>
            <sz val="9"/>
            <color indexed="81"/>
            <rFont val="Tahoma"/>
            <family val="2"/>
          </rPr>
          <t>Danny Quijano:</t>
        </r>
        <r>
          <rPr>
            <sz val="9"/>
            <color indexed="81"/>
            <rFont val="Tahoma"/>
            <family val="2"/>
          </rPr>
          <t xml:space="preserve">
Not US only</t>
        </r>
      </text>
    </comment>
    <comment ref="V21" authorId="0" shapeId="0">
      <text>
        <r>
          <rPr>
            <b/>
            <sz val="9"/>
            <color indexed="81"/>
            <rFont val="Tahoma"/>
            <family val="2"/>
          </rPr>
          <t>Danny Quijano:</t>
        </r>
        <r>
          <rPr>
            <sz val="9"/>
            <color indexed="81"/>
            <rFont val="Tahoma"/>
            <family val="2"/>
          </rPr>
          <t xml:space="preserve">
Does not specify whether prices include effects of derivatives</t>
        </r>
      </text>
    </comment>
    <comment ref="B38" authorId="0" shapeId="0">
      <text>
        <r>
          <rPr>
            <b/>
            <sz val="9"/>
            <color indexed="81"/>
            <rFont val="Tahoma"/>
            <family val="2"/>
          </rPr>
          <t>Danny Quijano:</t>
        </r>
        <r>
          <rPr>
            <sz val="9"/>
            <color indexed="81"/>
            <rFont val="Tahoma"/>
            <family val="2"/>
          </rPr>
          <t xml:space="preserve">
Bizzare numbers… don't add up</t>
        </r>
      </text>
    </comment>
  </commentList>
</comments>
</file>

<file path=xl/comments3.xml><?xml version="1.0" encoding="utf-8"?>
<comments xmlns="http://schemas.openxmlformats.org/spreadsheetml/2006/main">
  <authors>
    <author>Danny Quijano</author>
  </authors>
  <commentList>
    <comment ref="U17" authorId="0" shapeId="0">
      <text>
        <r>
          <rPr>
            <b/>
            <sz val="9"/>
            <color indexed="81"/>
            <rFont val="Tahoma"/>
            <family val="2"/>
          </rPr>
          <t>Danny Quijano:</t>
        </r>
        <r>
          <rPr>
            <sz val="9"/>
            <color indexed="81"/>
            <rFont val="Tahoma"/>
            <family val="2"/>
          </rPr>
          <t xml:space="preserve">
Unclear as to whether or not data includea effect of hedging.
Have sales of nat gas (MMCFD) &amp; sales of NGL (MBD), but not sales of oil.</t>
        </r>
      </text>
    </comment>
    <comment ref="V17" authorId="0" shapeId="0">
      <text>
        <r>
          <rPr>
            <b/>
            <sz val="9"/>
            <color indexed="81"/>
            <rFont val="Tahoma"/>
            <family val="2"/>
          </rPr>
          <t>Danny Quijano:</t>
        </r>
        <r>
          <rPr>
            <sz val="9"/>
            <color indexed="81"/>
            <rFont val="Tahoma"/>
            <family val="2"/>
          </rPr>
          <t xml:space="preserve">
Does not include the effect of derivatives</t>
        </r>
      </text>
    </comment>
    <comment ref="U18" authorId="0" shapeId="0">
      <text>
        <r>
          <rPr>
            <b/>
            <sz val="9"/>
            <color indexed="81"/>
            <rFont val="Tahoma"/>
            <family val="2"/>
          </rPr>
          <t>Danny Quijano:</t>
        </r>
        <r>
          <rPr>
            <sz val="9"/>
            <color indexed="81"/>
            <rFont val="Tahoma"/>
            <family val="2"/>
          </rPr>
          <t xml:space="preserve">
Before 2Q14 COP bundled lower 48 &amp; latam into one reporting group. However, the data seems consistent (in other words, the latam portion seems negligible) so I'm including it in the average</t>
        </r>
      </text>
    </comment>
    <comment ref="V18" authorId="0" shapeId="0">
      <text>
        <r>
          <rPr>
            <b/>
            <sz val="9"/>
            <color indexed="81"/>
            <rFont val="Tahoma"/>
            <family val="2"/>
          </rPr>
          <t>Danny Quijano:</t>
        </r>
        <r>
          <rPr>
            <sz val="9"/>
            <color indexed="81"/>
            <rFont val="Tahoma"/>
            <family val="2"/>
          </rPr>
          <t xml:space="preserve">
XOM does not provide quarterly data</t>
        </r>
      </text>
    </comment>
    <comment ref="W18" authorId="0" shapeId="0">
      <text>
        <r>
          <rPr>
            <b/>
            <sz val="9"/>
            <color indexed="81"/>
            <rFont val="Tahoma"/>
            <family val="2"/>
          </rPr>
          <t>Danny Quijano:</t>
        </r>
        <r>
          <rPr>
            <sz val="9"/>
            <color indexed="81"/>
            <rFont val="Tahoma"/>
            <family val="2"/>
          </rPr>
          <t xml:space="preserve">
Prices with and without hedging are equal</t>
        </r>
      </text>
    </comment>
    <comment ref="T19" authorId="0" shapeId="0">
      <text>
        <r>
          <rPr>
            <b/>
            <sz val="9"/>
            <color indexed="81"/>
            <rFont val="Tahoma"/>
            <family val="2"/>
          </rPr>
          <t>Danny Quijano:</t>
        </r>
        <r>
          <rPr>
            <sz val="9"/>
            <color indexed="81"/>
            <rFont val="Tahoma"/>
            <family val="2"/>
          </rPr>
          <t xml:space="preserve">
NGLs not separated but they are negligible</t>
        </r>
      </text>
    </comment>
    <comment ref="V19" authorId="0" shapeId="0">
      <text>
        <r>
          <rPr>
            <b/>
            <sz val="9"/>
            <color indexed="81"/>
            <rFont val="Tahoma"/>
            <family val="2"/>
          </rPr>
          <t>Danny Quijano:</t>
        </r>
        <r>
          <rPr>
            <sz val="9"/>
            <color indexed="81"/>
            <rFont val="Tahoma"/>
            <family val="2"/>
          </rPr>
          <t xml:space="preserve">
Does not specify if it's with or without hedging</t>
        </r>
      </text>
    </comment>
    <comment ref="W19" authorId="0" shapeId="0">
      <text>
        <r>
          <rPr>
            <b/>
            <sz val="9"/>
            <color indexed="81"/>
            <rFont val="Tahoma"/>
            <family val="2"/>
          </rPr>
          <t xml:space="preserve">Danny Quijano:
</t>
        </r>
        <r>
          <rPr>
            <sz val="9"/>
            <color indexed="81"/>
            <rFont val="Tahoma"/>
            <family val="2"/>
          </rPr>
          <t xml:space="preserve">No liquids data for 2012, not inclided in averages for that year
</t>
        </r>
      </text>
    </comment>
    <comment ref="U20" authorId="0" shapeId="0">
      <text>
        <r>
          <rPr>
            <b/>
            <sz val="9"/>
            <color indexed="81"/>
            <rFont val="Tahoma"/>
            <family val="2"/>
          </rPr>
          <t>Danny Quijano:</t>
        </r>
        <r>
          <rPr>
            <sz val="9"/>
            <color indexed="81"/>
            <rFont val="Tahoma"/>
            <family val="2"/>
          </rPr>
          <t xml:space="preserve">
Not US only</t>
        </r>
      </text>
    </comment>
    <comment ref="V20" authorId="0" shapeId="0">
      <text>
        <r>
          <rPr>
            <b/>
            <sz val="9"/>
            <color indexed="81"/>
            <rFont val="Tahoma"/>
            <family val="2"/>
          </rPr>
          <t>Danny Quijano:</t>
        </r>
        <r>
          <rPr>
            <sz val="9"/>
            <color indexed="81"/>
            <rFont val="Tahoma"/>
            <family val="2"/>
          </rPr>
          <t xml:space="preserve">
Does not specify whether prices include effects of derivatives</t>
        </r>
      </text>
    </comment>
  </commentList>
</comments>
</file>

<file path=xl/comments4.xml><?xml version="1.0" encoding="utf-8"?>
<comments xmlns="http://schemas.openxmlformats.org/spreadsheetml/2006/main">
  <authors>
    <author>Danny Quijano</author>
  </authors>
  <commentList>
    <comment ref="U18" authorId="0" shapeId="0">
      <text>
        <r>
          <rPr>
            <b/>
            <sz val="9"/>
            <color indexed="81"/>
            <rFont val="Tahoma"/>
            <family val="2"/>
          </rPr>
          <t>Danny Quijano:</t>
        </r>
        <r>
          <rPr>
            <sz val="9"/>
            <color indexed="81"/>
            <rFont val="Tahoma"/>
            <family val="2"/>
          </rPr>
          <t xml:space="preserve">
NGLs lumped with oil
</t>
        </r>
      </text>
    </comment>
    <comment ref="V18" authorId="0" shapeId="0">
      <text>
        <r>
          <rPr>
            <b/>
            <sz val="9"/>
            <color indexed="81"/>
            <rFont val="Tahoma"/>
            <family val="2"/>
          </rPr>
          <t>Danny Quijano:</t>
        </r>
        <r>
          <rPr>
            <sz val="9"/>
            <color indexed="81"/>
            <rFont val="Tahoma"/>
            <family val="2"/>
          </rPr>
          <t xml:space="preserve">
Does not include the effect of derivatives</t>
        </r>
      </text>
    </comment>
    <comment ref="U19" authorId="0" shapeId="0">
      <text>
        <r>
          <rPr>
            <b/>
            <sz val="9"/>
            <color indexed="81"/>
            <rFont val="Tahoma"/>
            <family val="2"/>
          </rPr>
          <t>Danny Quijano:</t>
        </r>
        <r>
          <rPr>
            <sz val="9"/>
            <color indexed="81"/>
            <rFont val="Tahoma"/>
            <family val="2"/>
          </rPr>
          <t xml:space="preserve">
Before 2Q14 COP bundled lower 48 &amp; latam into one reporting group. However, the data seems consistent (in other words, the latam portion seems negligible) so I'm </t>
        </r>
      </text>
    </comment>
    <comment ref="V19" authorId="0" shapeId="0">
      <text>
        <r>
          <rPr>
            <b/>
            <sz val="9"/>
            <color indexed="81"/>
            <rFont val="Tahoma"/>
            <family val="2"/>
          </rPr>
          <t>Danny Quijano:</t>
        </r>
        <r>
          <rPr>
            <sz val="9"/>
            <color indexed="81"/>
            <rFont val="Tahoma"/>
            <family val="2"/>
          </rPr>
          <t xml:space="preserve">
XOM does not provide quarterly data</t>
        </r>
      </text>
    </comment>
    <comment ref="W19" authorId="0" shapeId="0">
      <text>
        <r>
          <rPr>
            <b/>
            <sz val="9"/>
            <color indexed="81"/>
            <rFont val="Tahoma"/>
            <family val="2"/>
          </rPr>
          <t>Danny Quijano:</t>
        </r>
        <r>
          <rPr>
            <sz val="9"/>
            <color indexed="81"/>
            <rFont val="Tahoma"/>
            <family val="2"/>
          </rPr>
          <t xml:space="preserve">
Include hedging?
Data doesn't add up.</t>
        </r>
      </text>
    </comment>
    <comment ref="T20" authorId="0" shapeId="0">
      <text>
        <r>
          <rPr>
            <b/>
            <sz val="9"/>
            <color indexed="81"/>
            <rFont val="Tahoma"/>
            <family val="2"/>
          </rPr>
          <t>Danny Quijano:</t>
        </r>
        <r>
          <rPr>
            <sz val="9"/>
            <color indexed="81"/>
            <rFont val="Tahoma"/>
            <family val="2"/>
          </rPr>
          <t xml:space="preserve">
NGL info not provided</t>
        </r>
      </text>
    </comment>
    <comment ref="U20" authorId="0" shapeId="0">
      <text>
        <r>
          <rPr>
            <b/>
            <sz val="9"/>
            <color indexed="81"/>
            <rFont val="Tahoma"/>
            <family val="2"/>
          </rPr>
          <t>Danny Quijano:</t>
        </r>
        <r>
          <rPr>
            <sz val="9"/>
            <color indexed="81"/>
            <rFont val="Tahoma"/>
            <family val="2"/>
          </rPr>
          <t xml:space="preserve">
Excludes hedging</t>
        </r>
      </text>
    </comment>
    <comment ref="V20" authorId="0" shapeId="0">
      <text>
        <r>
          <rPr>
            <b/>
            <sz val="9"/>
            <color indexed="81"/>
            <rFont val="Tahoma"/>
            <family val="2"/>
          </rPr>
          <t>Danny Quijano:</t>
        </r>
        <r>
          <rPr>
            <sz val="9"/>
            <color indexed="81"/>
            <rFont val="Tahoma"/>
            <family val="2"/>
          </rPr>
          <t xml:space="preserve">
Does not specify if it's with or without hedging</t>
        </r>
      </text>
    </comment>
    <comment ref="W20" authorId="0" shapeId="0">
      <text>
        <r>
          <rPr>
            <b/>
            <sz val="9"/>
            <color indexed="81"/>
            <rFont val="Tahoma"/>
            <family val="2"/>
          </rPr>
          <t xml:space="preserve">Danny Quijano:
</t>
        </r>
        <r>
          <rPr>
            <sz val="9"/>
            <color indexed="81"/>
            <rFont val="Tahoma"/>
            <family val="2"/>
          </rPr>
          <t>NGL data not available</t>
        </r>
      </text>
    </comment>
    <comment ref="T21" authorId="0" shapeId="0">
      <text>
        <r>
          <rPr>
            <b/>
            <sz val="9"/>
            <color indexed="81"/>
            <rFont val="Tahoma"/>
            <family val="2"/>
          </rPr>
          <t>Danny Quijano:</t>
        </r>
        <r>
          <rPr>
            <sz val="9"/>
            <color indexed="81"/>
            <rFont val="Tahoma"/>
            <family val="2"/>
          </rPr>
          <t xml:space="preserve">
NGL prices with and without hedging effect are equal almost every quarter, indicating they didn't use hedging much.</t>
        </r>
      </text>
    </comment>
    <comment ref="U21" authorId="0" shapeId="0">
      <text>
        <r>
          <rPr>
            <b/>
            <sz val="9"/>
            <color indexed="81"/>
            <rFont val="Tahoma"/>
            <family val="2"/>
          </rPr>
          <t>Danny Quijano:</t>
        </r>
        <r>
          <rPr>
            <sz val="9"/>
            <color indexed="81"/>
            <rFont val="Tahoma"/>
            <family val="2"/>
          </rPr>
          <t xml:space="preserve">
Not US only</t>
        </r>
      </text>
    </comment>
    <comment ref="V21" authorId="0" shapeId="0">
      <text>
        <r>
          <rPr>
            <b/>
            <sz val="9"/>
            <color indexed="81"/>
            <rFont val="Tahoma"/>
            <family val="2"/>
          </rPr>
          <t>Danny Quijano:</t>
        </r>
        <r>
          <rPr>
            <sz val="9"/>
            <color indexed="81"/>
            <rFont val="Tahoma"/>
            <family val="2"/>
          </rPr>
          <t xml:space="preserve">
Does not specify whether prices include effects of derivatives</t>
        </r>
      </text>
    </comment>
  </commentList>
</comments>
</file>

<file path=xl/sharedStrings.xml><?xml version="1.0" encoding="utf-8"?>
<sst xmlns="http://schemas.openxmlformats.org/spreadsheetml/2006/main" count="1673" uniqueCount="488">
  <si>
    <t>Production  (Supplemental Data on Production)</t>
  </si>
  <si>
    <t>Additions (Supplemental Data on Production)</t>
  </si>
  <si>
    <t>Costs Incurred</t>
  </si>
  <si>
    <t>Cash Costs (MD&amp;A, Notes, and Supplementals: Results of Operations)</t>
  </si>
  <si>
    <t>Company</t>
  </si>
  <si>
    <t>CUSIP</t>
  </si>
  <si>
    <t>Year</t>
  </si>
  <si>
    <t>Comments</t>
  </si>
  <si>
    <t>Unadjusted Interest Expense MM$</t>
  </si>
  <si>
    <t>Total US E&amp;P Interest Expense MM$</t>
  </si>
  <si>
    <t>US Cash Cost ($/BOE)</t>
  </si>
  <si>
    <t>Total Capital + Cash Costs $MM</t>
  </si>
  <si>
    <t>10% Return $MM</t>
  </si>
  <si>
    <t>3 yr avg FD Cost + Cash Costs Before Return $/BOE</t>
  </si>
  <si>
    <t>10% Return/BOE</t>
  </si>
  <si>
    <t>3 yr avg US Breakeven Cost  After 10% Return $/BOE</t>
  </si>
  <si>
    <t>3 yr avg US Breakeven Cost  Before Return $/MCFE</t>
  </si>
  <si>
    <t>10% Return $/MCFE</t>
  </si>
  <si>
    <t>3 yr avg US Breakeven Cost  After 10% Return $/MCFE</t>
  </si>
  <si>
    <t>Henry Hub Spot Price $4/MCF</t>
  </si>
  <si>
    <t>Anadarko Petroleum</t>
  </si>
  <si>
    <t>APC</t>
  </si>
  <si>
    <t>Costs &amp; Adds include oil; Sales excluded. Allocation of fair value adjustment ommitted in prperty acquisition costs.</t>
  </si>
  <si>
    <t>Costs &amp; Adds include oil; Sales excluded</t>
  </si>
  <si>
    <t>US Operating loss $5; Non-Income tax is production tax</t>
  </si>
  <si>
    <t xml:space="preserve">Tax loss due to $4 billion Deepwater Horizon settlement with BP </t>
  </si>
  <si>
    <t>Apache Corp</t>
  </si>
  <si>
    <t>APA</t>
  </si>
  <si>
    <t>Extensions, discoveries, purchases &amp;  and revisions. Excludes sales. Capital is US costs incurred less cap. Interest and asset retirement costs</t>
  </si>
  <si>
    <t>Company had federal and state operating losses in 09 and carryforwards</t>
  </si>
  <si>
    <t>Cabot Oil &amp; Gas</t>
  </si>
  <si>
    <t>COG</t>
  </si>
  <si>
    <t>NGLs were 7.6% of proved crude &amp; NGL reserves; All reserves in US</t>
  </si>
  <si>
    <t>NGLs were 8.7 %of proved crude &amp; NGL reserves; All reserves in US</t>
  </si>
  <si>
    <t>NGLs were 12.3% of proved crude &amp; NGL reserves; All reserves in US</t>
  </si>
  <si>
    <t>Chesapeake Energy</t>
  </si>
  <si>
    <t>CHK</t>
  </si>
  <si>
    <t>Costs &amp; Adds include oil; Sales excluded; Costs exclude asset retirement obligations</t>
  </si>
  <si>
    <t>Net Operating loss</t>
  </si>
  <si>
    <t>Net Operating losses carryforwards of 3.1 billion at 12/31/11 will expire 2019-2031</t>
  </si>
  <si>
    <t>CVX</t>
  </si>
  <si>
    <t>Conoco Phillips</t>
  </si>
  <si>
    <t>COP</t>
  </si>
  <si>
    <t>Devon Energy</t>
  </si>
  <si>
    <t>DVN</t>
  </si>
  <si>
    <t xml:space="preserve">Costs and adds include oil. Sales excluded. </t>
  </si>
  <si>
    <t>Excludes asset retirement obligations and reduction of carrying value of oil and gas properties.See note 6 income taxes</t>
  </si>
  <si>
    <t>Encana</t>
  </si>
  <si>
    <t>ECA</t>
  </si>
  <si>
    <t>Excludes asset retirement obligations accretions</t>
  </si>
  <si>
    <t>EOG Resources</t>
  </si>
  <si>
    <t>EOG</t>
  </si>
  <si>
    <t>Costs and adds include oil. Sales excluded. Costs exclude asset retirement obligations and non-cash acquisition costs.</t>
  </si>
  <si>
    <t>Includes lease and well costs, transportation costs, gathering and processing costs.; Non-income tax = alternative minimum tax paid; Prodction taxes included in LOE</t>
  </si>
  <si>
    <t>XOM</t>
  </si>
  <si>
    <t>Occidental Petroeum</t>
  </si>
  <si>
    <t>OXY</t>
  </si>
  <si>
    <t>LOE = Production costs + Other Operating expenses + Exploration expnse from costs incurred - Exploration expense</t>
  </si>
  <si>
    <t>Pioneer Natural Resources</t>
  </si>
  <si>
    <t>PXD</t>
  </si>
  <si>
    <t>Additions include oil and purchases; excludes sales. Capital excludes asset retirement obligations.</t>
  </si>
  <si>
    <t>Excludes asset retirement obligations. Includes hurricane activity and other; Net Operating Loss</t>
  </si>
  <si>
    <t>Range Resources</t>
  </si>
  <si>
    <t>RRC</t>
  </si>
  <si>
    <t>Additions include oil and purchases; excludes sales. Capital excludes asset retirement obligations and stock based compensation expense and includes gas gathering facilities. Unproved property = Acerage Purchases + Unproved Leasehold
Exploration= Drilling + Expense + development (Under Gas Gathering Facilities)</t>
  </si>
  <si>
    <t>G&amp;A Excludes deferred compensation plan. LOE excludes "Brokered Natural Gas and Marketing"</t>
  </si>
  <si>
    <t>Southwestern Energy</t>
  </si>
  <si>
    <t>SWN</t>
  </si>
  <si>
    <t>Includes oil and excludes sales. Capital includes capitalized costs incurred plus net unevaluated costs excluded from the full cost pool.</t>
  </si>
  <si>
    <t>UPL</t>
  </si>
  <si>
    <t>Excludes the impact of commodity derivatives</t>
  </si>
  <si>
    <t>Suspended Exploration Costs ($ MM)</t>
  </si>
  <si>
    <t>Costs Excluded From FC Amort. Pool ($ MM)</t>
  </si>
  <si>
    <t>Row Labels</t>
  </si>
  <si>
    <t>Grand Total</t>
  </si>
  <si>
    <t>Average</t>
  </si>
  <si>
    <t>SUM</t>
  </si>
  <si>
    <t>10% Return</t>
  </si>
  <si>
    <t>Cost</t>
  </si>
  <si>
    <t>White Fill</t>
  </si>
  <si>
    <t>Low Cost Producer</t>
  </si>
  <si>
    <t>High Cost Producer</t>
  </si>
  <si>
    <t>%US NGL Production</t>
  </si>
  <si>
    <t>Sum of US Cash Cost ($/BOE)</t>
  </si>
  <si>
    <t>Sum of 10% Return/BOE</t>
  </si>
  <si>
    <t>US PUDs (BCFE)</t>
  </si>
  <si>
    <t>Change in PUDs yoy (BCFE)</t>
  </si>
  <si>
    <t>US PUDs (MMBOE)</t>
  </si>
  <si>
    <t>Change in PUDs yoy (MMBOE)</t>
  </si>
  <si>
    <t>Impairments</t>
  </si>
  <si>
    <t>The net upward revision of 493.0 Bcfe was primarily due to (i) an upward performance revision of 492.1 Bcfe, primarily in the Dimock field in northeast Pennsylvania and (ii) an upward revision of 0.9 Bcfe associated with commodity pricing.</t>
  </si>
  <si>
    <t xml:space="preserve"> In 2014, Unproved includes $5,338 million from the acquisition of Athlon.
 In 2014, Unproved includes $5,338 million from the acquisition of Athlon.
2014, Unproved includes $5,338 million and Proved includes $2,127 million from the acquisition of Athlon</t>
  </si>
  <si>
    <t>The significant increase in the Company’s reserves in 2014 was primarily due to the acquisition of approximately 413,000 net acres in Southwest Appalachia, successful development drilling programs in the Fayetteville Shale and Northeast Appalachia and upward performance revisions in Northeast Appalachia.</t>
  </si>
  <si>
    <t>US Natural Gas Production  (BCF)</t>
  </si>
  <si>
    <t>US Oil and Liquids Production (MMB)</t>
  </si>
  <si>
    <t>US NGL Production (MMB)</t>
  </si>
  <si>
    <t>US Total Production (MMBOE)</t>
  </si>
  <si>
    <t>US Total Production (BCFE)</t>
  </si>
  <si>
    <t>Foreign Natural Gas Production (BCF)</t>
  </si>
  <si>
    <t>Foreign Oil &amp; Liquids Production (MMBOE)</t>
  </si>
  <si>
    <t>Foreign NGL Production (MMB)</t>
  </si>
  <si>
    <t>Foreign Total Production (MMBOE)</t>
  </si>
  <si>
    <t>Foreign Total Production (BCFE)</t>
  </si>
  <si>
    <t>Worldwide Production (MMBOE)</t>
  </si>
  <si>
    <t>Worldwide Production (BCFE)</t>
  </si>
  <si>
    <t>% US Production</t>
  </si>
  <si>
    <t>% US Natural Gas Production</t>
  </si>
  <si>
    <t>Revisions (BCF)</t>
  </si>
  <si>
    <t>Extensions, Discoveries, &amp; Other Additions (BCF)</t>
  </si>
  <si>
    <t>Improved Recovery (BCF)</t>
  </si>
  <si>
    <t>US Natural Gas Addition (BCF)</t>
  </si>
  <si>
    <t>Revisions (MMB)</t>
  </si>
  <si>
    <t>Extensions, Discoveries, &amp; Other Additions (MMB)</t>
  </si>
  <si>
    <t>Improved Recovery (MMB)</t>
  </si>
  <si>
    <t>US Oil, Condensate Addition (MMB)</t>
  </si>
  <si>
    <t>US All Source Additions (BCFE)</t>
  </si>
  <si>
    <t>US All Source Additions (MMBOE)</t>
  </si>
  <si>
    <t>US Unproved Property Acquisitions ($MM)</t>
  </si>
  <si>
    <t>US Proved Property Acquisitions ($MM)</t>
  </si>
  <si>
    <t>US Exploration ($MM)</t>
  </si>
  <si>
    <t>US Development ($MM)</t>
  </si>
  <si>
    <t>US Total Capital ($MM)</t>
  </si>
  <si>
    <t>Purchases (BCF)</t>
  </si>
  <si>
    <t>Purchases (MMB)</t>
  </si>
  <si>
    <t>US NGL Additions (MMB)</t>
  </si>
  <si>
    <t>3-Year Moving Sum Total Additions (MMBOE)</t>
  </si>
  <si>
    <t>3-Year Moving Sum FD Costs ($MM)</t>
  </si>
  <si>
    <t>3-Year Average US FD ($/BOE)</t>
  </si>
  <si>
    <t>3-Year Average US FD ($/MCFE)</t>
  </si>
  <si>
    <t>Unadjusted G&amp;A and Marketing ($MM)</t>
  </si>
  <si>
    <t>US E&amp;P G&amp;A and Marketing ($MM)</t>
  </si>
  <si>
    <t>Adjusted US Upstream G&amp;A and Marketing ($MM)</t>
  </si>
  <si>
    <t>Unadjusted Cash Income Tax Expense (Benefit) ($MM)</t>
  </si>
  <si>
    <t>US E&amp;P Cash Income Tax Expense (Benefit) ($MM)</t>
  </si>
  <si>
    <t>Unadjusted Non-Income Taxes ($MM)</t>
  </si>
  <si>
    <t>US E&amp;P Non-Income Taxes ($MM)</t>
  </si>
  <si>
    <t>Adjusted US Upstream Cash Income Taxes  ($MM)</t>
  </si>
  <si>
    <t>Adjusted US Upstream Non-Income Taxes ($MM)</t>
  </si>
  <si>
    <t>Adjusted US Upstream Total Interest Expense (MM$)</t>
  </si>
  <si>
    <t>E&amp;P Revenue ($MM)</t>
  </si>
  <si>
    <t>Total Revenue ($MM)</t>
  </si>
  <si>
    <t>US Cash Costs ($MM)</t>
  </si>
  <si>
    <t>US Cash Cost ($/MCFE)</t>
  </si>
  <si>
    <t>% US Oil &amp; Liquids Production</t>
  </si>
  <si>
    <t>Sum of 3-Year Average US FD ($/BOE)</t>
  </si>
  <si>
    <t>Other</t>
  </si>
  <si>
    <t>3 yr avg US Breakeven Cost After FD Return ($/BOE)</t>
  </si>
  <si>
    <t>3 yr avg US Breakeven Cost After FD Return ($/MCFE)</t>
  </si>
  <si>
    <t>FD Return ($/BOE)</t>
  </si>
  <si>
    <t>FD Return ($/MCFE)</t>
  </si>
  <si>
    <t>3-Year Moving Sum Total Additions (BCFE)</t>
  </si>
  <si>
    <t>Annual Cash Costs per Bbl of Production ($/BOE)</t>
  </si>
  <si>
    <t xml:space="preserve">Return of Current Capex ($/BOE) </t>
  </si>
  <si>
    <t xml:space="preserve">3-Yr MA FD Costs/3-Yr MA Additions ($/BOE) </t>
  </si>
  <si>
    <t>Total Debt (World-Wide)</t>
  </si>
  <si>
    <t>Notes</t>
  </si>
  <si>
    <t>Financials</t>
  </si>
  <si>
    <t>Realized Gas Annual</t>
  </si>
  <si>
    <t>Q1</t>
  </si>
  <si>
    <t>Q2</t>
  </si>
  <si>
    <t>Q3</t>
  </si>
  <si>
    <t>Annual</t>
  </si>
  <si>
    <t>gas rev</t>
  </si>
  <si>
    <t>gas vol</t>
  </si>
  <si>
    <t>price</t>
  </si>
  <si>
    <t>Q4</t>
  </si>
  <si>
    <t>Not US only</t>
  </si>
  <si>
    <t>Does not include effects of derivatives- EOG Doesn't include the /cf effect.</t>
  </si>
  <si>
    <t>Natural gas ($/Mcf, including realized hedges)</t>
  </si>
  <si>
    <t>Q1 Average</t>
  </si>
  <si>
    <t>Q2 Average</t>
  </si>
  <si>
    <t>Q3 Average</t>
  </si>
  <si>
    <t>Q4 Average</t>
  </si>
  <si>
    <t>Annual Average</t>
  </si>
  <si>
    <t>oil rev</t>
  </si>
  <si>
    <t>oil vol</t>
  </si>
  <si>
    <t>Oil and NGL not separated</t>
  </si>
  <si>
    <t>Includes impact of hedging activity</t>
  </si>
  <si>
    <t>US only. This is "average realization"- does that include hedging??</t>
  </si>
  <si>
    <t>Not sure</t>
  </si>
  <si>
    <t>US only &amp; Hedging IS included</t>
  </si>
  <si>
    <t>Either not US only and/or Hedging NOT included</t>
  </si>
  <si>
    <t>Gas vol number is "Nat Gas Production Available for Sale"</t>
  </si>
  <si>
    <t>Doesn't specify effects of hedging</t>
  </si>
  <si>
    <t>Including hedges</t>
  </si>
  <si>
    <t>Line item: Average realized gas price per Mcf, including hedges. FOOTNOTE: Including the gain (loss) on derivatives excluding derivatives, settled effects of commodity hedging contracts not designated for hedge accounting, results in an average price of $3.71, $3.68, $3.78, and $3.79 per Mcf for the three months ended September 30, 2014 and 2013, and the nine months ended September 30, 2014 and 2013, respectively</t>
  </si>
  <si>
    <t>Data is not segregated in the way we need it to be</t>
  </si>
  <si>
    <t xml:space="preserve">Including g/l on derivates. </t>
  </si>
  <si>
    <t>Not usable because of geography, hedges, or oil/NGL price grouped</t>
  </si>
  <si>
    <t>Prices include hedge effects</t>
  </si>
  <si>
    <t>Includes hedging</t>
  </si>
  <si>
    <t>Starts disclosing Oil &amp; NGL prices in 2014 since liquids are a very small portion of production. In other words: No liquids data for 2012</t>
  </si>
  <si>
    <t>Include hedging</t>
  </si>
  <si>
    <t>US and latam- latam portion is very small, but missing Alaska which is significant only in terms of oil.</t>
  </si>
  <si>
    <t>Not sure if hedging is included</t>
  </si>
  <si>
    <t>Price with and without hedge is equal</t>
  </si>
  <si>
    <t>Prices with and without hedging are equal</t>
  </si>
  <si>
    <t>No data before 2013</t>
  </si>
  <si>
    <t>NGLs not differentiated from oil</t>
  </si>
  <si>
    <t> The Company did not settle any NGL hedges during the periods presented.</t>
  </si>
  <si>
    <t>NGL rev</t>
  </si>
  <si>
    <t>NGL vol</t>
  </si>
  <si>
    <t>Data on 10-k is not broken up geographically/by product.</t>
  </si>
  <si>
    <t>US only. This is revenue from net production- does that include hedging??</t>
  </si>
  <si>
    <t>Prices are not US only</t>
  </si>
  <si>
    <t xml:space="preserve">OXY seem to have retrospectively changed production quantities </t>
  </si>
  <si>
    <t>Quarterly data doesn't consistent, but may be right. Prices for Q1-3 and annual taken straight out of financial statements. If they realized between 35 &amp; 50 $/Bbl in the first three quarters and averaged out to 16 for the year, then they must have ramped up NGL production and taken much lower prices. It would be nice to see a 10-Q for fourth quarter to see what happened</t>
  </si>
  <si>
    <t xml:space="preserve">Realized Gas Price Q1 ($/MCFE) </t>
  </si>
  <si>
    <t xml:space="preserve">Realized Gas Price Q2 ($/MCFE) </t>
  </si>
  <si>
    <t xml:space="preserve">Realized Gas Price Q3 ($/MCFE) </t>
  </si>
  <si>
    <t xml:space="preserve">Estimated Gas Price Q4 ($/MCFE) </t>
  </si>
  <si>
    <t>Gas Revenue Q1</t>
  </si>
  <si>
    <t>Gas Sales Q1</t>
  </si>
  <si>
    <t>Gas Revenue Q2</t>
  </si>
  <si>
    <t>Gas Sales Q2</t>
  </si>
  <si>
    <t>Gas Revenue Q3</t>
  </si>
  <si>
    <t>Gas Sales Q3</t>
  </si>
  <si>
    <t>Gas Revenue Q4</t>
  </si>
  <si>
    <t>Gas Sales Q4</t>
  </si>
  <si>
    <t>Gas Revenue Annual</t>
  </si>
  <si>
    <t>Gas Sales Annual</t>
  </si>
  <si>
    <t>Oil and Condensate Revenue Q1</t>
  </si>
  <si>
    <t>Oil and Condensate Sales Q1</t>
  </si>
  <si>
    <t>Oil and Condensate Revenue Q2</t>
  </si>
  <si>
    <t>Oil and Condensate Sales Q2</t>
  </si>
  <si>
    <t>Oil and Condensate Revenue Q3</t>
  </si>
  <si>
    <t>Oil and Condensate Sales Q3</t>
  </si>
  <si>
    <t>Oil and Condensate Revenue Q4</t>
  </si>
  <si>
    <t>Oil and Condensate Sales Q4</t>
  </si>
  <si>
    <t>Oil and Condensate Revenue Annual</t>
  </si>
  <si>
    <t>Oil and Condensate Sales Annual</t>
  </si>
  <si>
    <t>NGL Revenue Q1</t>
  </si>
  <si>
    <t>NGL Sales Q1</t>
  </si>
  <si>
    <t>NGL Revenue Q2</t>
  </si>
  <si>
    <t>NGL Sales Q2</t>
  </si>
  <si>
    <t>Realized Oil and Condensate Price Q1 ($/Bbl)</t>
  </si>
  <si>
    <t>Realized Oil and Condensate Price Q2 ($/Bbl)</t>
  </si>
  <si>
    <t>Realized Oil and Condensate  Price Q3 ($/Bbl)</t>
  </si>
  <si>
    <t>Realized Oil and Condensate  Price Annual ($/Bbl)</t>
  </si>
  <si>
    <t>Realized NGLs Q1 ($/Bbl)</t>
  </si>
  <si>
    <t>Realized NGLs Q2 ($/Bbl)</t>
  </si>
  <si>
    <t>NGL Revenue Q3</t>
  </si>
  <si>
    <t>NGL Sales Q3</t>
  </si>
  <si>
    <t>Realized NGLs  Price Q3 ($/Bbl)</t>
  </si>
  <si>
    <t>NGL Revenue Q4</t>
  </si>
  <si>
    <t>NGL Sales Q4</t>
  </si>
  <si>
    <t>NGL Revenue Annual</t>
  </si>
  <si>
    <t>NGL Sales Annual</t>
  </si>
  <si>
    <t>Realized NGLs Price Annual  ($/Bbl)</t>
  </si>
  <si>
    <t>Estimated Oil and Condensate  Price Q4 ($/Bbl)</t>
  </si>
  <si>
    <t>Estimated NGLs Price Q4 ($/Bbl)</t>
  </si>
  <si>
    <t>10% Return as a % of Capex</t>
  </si>
  <si>
    <t>Conclusions</t>
  </si>
  <si>
    <t>10% Return per BOE (Weighted w/ adds &amp; prod)</t>
  </si>
  <si>
    <t>10% Return per BOE (weighted w/ adds &amp; prod) net</t>
  </si>
  <si>
    <t>10% Return per BOE (weighted w/ adds &amp; prod) /F&amp;D</t>
  </si>
  <si>
    <t>Sum of US Total Capital ($MM)</t>
  </si>
  <si>
    <t>Sum of US Total Production (MMBOE)</t>
  </si>
  <si>
    <t>10% of that</t>
  </si>
  <si>
    <t>10%Return/Return of Capex</t>
  </si>
  <si>
    <t>Miranda's way</t>
  </si>
  <si>
    <t>Sum of Total Capital + Cash Costs $MM</t>
  </si>
  <si>
    <t>Our way on a /boe basis (like Miranda)</t>
  </si>
  <si>
    <t>Capex/production</t>
  </si>
  <si>
    <t>Difference</t>
  </si>
  <si>
    <t>FD/adds + Cash/production</t>
  </si>
  <si>
    <t>Cost stack difference</t>
  </si>
  <si>
    <t>( FD +  Cash)/production</t>
  </si>
  <si>
    <t>Sum of US Cash Costs ($MM)</t>
  </si>
  <si>
    <t>Oil</t>
  </si>
  <si>
    <t>Gas</t>
  </si>
  <si>
    <t>HES</t>
  </si>
  <si>
    <t>MRO</t>
  </si>
  <si>
    <t>Infill Drilling Program Increasing Revisions</t>
  </si>
  <si>
    <t>Hedging had a huge positive effect in 2015</t>
  </si>
  <si>
    <t>Includes impact of hedging activity, Not US only</t>
  </si>
  <si>
    <t>This equals global gas production because there is no foregin productino of natural gas</t>
  </si>
  <si>
    <t>Data provided is very funky. Here are the line itmes: Oil &amp; NGL production, gas production, total production, sales of nat gas (which is 3x nat gas production even though it includes natural gas used in production), sales of NGL. NO sales of oil provided</t>
  </si>
  <si>
    <t>US E&amp;P Factor</t>
  </si>
  <si>
    <t>%Change in PUDs</t>
  </si>
  <si>
    <t>Oil US PUDs MMB</t>
  </si>
  <si>
    <t>NGL US PUDs MMB</t>
  </si>
  <si>
    <t>Gas US PUDs BCF</t>
  </si>
  <si>
    <t>Sales Volumes include gas used in operations</t>
  </si>
  <si>
    <t>Prices are not US only, but I put US production as volume assuming the US price isn't THAT far off from what's in the report.</t>
  </si>
  <si>
    <t>Average realized prices (including all derivative settlements)</t>
  </si>
  <si>
    <t>Sum of 3-Year MA Capex</t>
  </si>
  <si>
    <t>Sum of U.S. Cash Costs</t>
  </si>
  <si>
    <t>Sum of 10% Return</t>
  </si>
  <si>
    <t>3-Yr MA FD Costs/3-Yr MA Additions</t>
  </si>
  <si>
    <t xml:space="preserve">Annual Cash Costs per Bbl of Production </t>
  </si>
  <si>
    <t>1Q HH Average</t>
  </si>
  <si>
    <t>2Q HH Average</t>
  </si>
  <si>
    <t>3Q HH Average</t>
  </si>
  <si>
    <t>4Q HH Average</t>
  </si>
  <si>
    <t>1Q WTI Average</t>
  </si>
  <si>
    <t>2Q WTI Average</t>
  </si>
  <si>
    <t>3Q WTI Average</t>
  </si>
  <si>
    <t>4Q WTI Average</t>
  </si>
  <si>
    <t>1Q NGL Average</t>
  </si>
  <si>
    <t>2Q NGL Average</t>
  </si>
  <si>
    <t>3Q NGL Average</t>
  </si>
  <si>
    <t>4Q NGL Average</t>
  </si>
  <si>
    <t>Marathon</t>
  </si>
  <si>
    <t xml:space="preserve">Includes costs incurred whether capitalized or expensed. </t>
  </si>
  <si>
    <t>Realized Oil Price</t>
  </si>
  <si>
    <t>Average WTI Price</t>
  </si>
  <si>
    <t>(Multiple Items)</t>
  </si>
  <si>
    <t>Concho</t>
  </si>
  <si>
    <t>CXO</t>
  </si>
  <si>
    <t>CXO reports with and without effects of derivatives</t>
  </si>
  <si>
    <t>Their average price is a lot higher than HH (even the price not including hedges)</t>
  </si>
  <si>
    <t>Continental</t>
  </si>
  <si>
    <t>CLR</t>
  </si>
  <si>
    <t>Hess</t>
  </si>
  <si>
    <t>US Production Costs ($MM)</t>
  </si>
  <si>
    <t>Cash Costs</t>
  </si>
  <si>
    <t>Interest</t>
  </si>
  <si>
    <t>Realized Prices and Sales Volumes</t>
  </si>
  <si>
    <t>General</t>
  </si>
  <si>
    <t>Anadarko</t>
  </si>
  <si>
    <t>Prices exclude impact of commodity derivatives</t>
  </si>
  <si>
    <t>Income Tax = Cash Paid for taxes, net of refunds</t>
  </si>
  <si>
    <t>Started producing nat gas abroad in 2015 for first time</t>
  </si>
  <si>
    <t>Sales Volume</t>
  </si>
  <si>
    <t>Marketing included in LOE if not otherwise specified</t>
  </si>
  <si>
    <t>If there is no item for marketing and/or G&amp;A in supplementals, are we assuming it's in LOE? If so, there should not be GA/Mkting for any company except APC, because they are the only one who has it in supplementals</t>
  </si>
  <si>
    <t>Apache</t>
  </si>
  <si>
    <t>"Interest expense" from note on financing cost. Left out Amort. of deferred loan costs, Cap. int. gain on extngshmnt, &amp; Int. income</t>
  </si>
  <si>
    <t>Includes Hedging Activity</t>
  </si>
  <si>
    <t>Non-income tax include severance/production taxes, ad valorem/property taxes, payroll taxes, franchise taxes and other miscellaneous taxes</t>
  </si>
  <si>
    <t>ARO and Cap interest deducted from  Development</t>
  </si>
  <si>
    <t>Cabot</t>
  </si>
  <si>
    <t>Capitalized interest and AROs deducted from development costs incurred</t>
  </si>
  <si>
    <t>Oil and NGL not separated, but still realized higher prices than most others</t>
  </si>
  <si>
    <t>Chesapeake</t>
  </si>
  <si>
    <t>Production costs: Production Expenses + Gathering, Processing, and transportation Expenses</t>
  </si>
  <si>
    <t>Interest expense is broken into senior notes, term loan, credit facilities, gains on derivatives, amort of loan discount, issuance costs, and other cap int. I summed first three</t>
  </si>
  <si>
    <t>Realized negative NGL Prices in 3Q15. There's a mismatch in prices- 4Q15 calculation is 52.49… way too high</t>
  </si>
  <si>
    <t>Spin off of California Resources on Nov, 2014  resulted in large (downward) revisions of CHK's figures compared to previous years.</t>
  </si>
  <si>
    <t>Production Costs: LOE + Workover Costs</t>
  </si>
  <si>
    <t>Lots of negative revisions in reserves over the years for oil</t>
  </si>
  <si>
    <t>G&amp;A includes non-cash stock-based compensation</t>
  </si>
  <si>
    <t>Conoco</t>
  </si>
  <si>
    <t>LOE: Production costs excluding taxes + Transportation costs from Supplementals. Does NOT include 'Other Related Expenses' because they are things like: foreign currency transaction gains and losses and other miscellaneous expenses</t>
  </si>
  <si>
    <t>Note: Other Financial Info- Incurred debt + incurred other in interest and debt expense section</t>
  </si>
  <si>
    <t>All data includes amounts from equity affiliates</t>
  </si>
  <si>
    <t>SG&amp;A from IS</t>
  </si>
  <si>
    <t>On April 30, 2012, we completed the separation of our downstream businesses into an independent, publicly traded company, Phillips 66</t>
  </si>
  <si>
    <t>Taxes other than income taxes supplementals</t>
  </si>
  <si>
    <t>2012 and 2013 have AFS amounts in Kaz, and Nigeria. These amounts have been left in the total.</t>
  </si>
  <si>
    <t>Production expenses from notes to financial stmts: Crude Oil and Natural Gas Property Information</t>
  </si>
  <si>
    <t>"Production Taxes and other expenses"</t>
  </si>
  <si>
    <t>Summed up total debt and multiplied by interest rates- calcs on waterfalls doc</t>
  </si>
  <si>
    <t>Devon</t>
  </si>
  <si>
    <t>Interest based on debt outstanding (p. 78). Add 'Other fees and expenses'?</t>
  </si>
  <si>
    <t>Second biggest loser in terms of %reserves: -75.4%</t>
  </si>
  <si>
    <t>Hedging had a huge positive effect in 2015 (Realized annual price for oil in 2015 was $72)</t>
  </si>
  <si>
    <t>Note on debt, search "Interest expense on:"</t>
  </si>
  <si>
    <t>Acquired Athlon in 2014 for 5.9B</t>
  </si>
  <si>
    <t>Includes hedging and US only</t>
  </si>
  <si>
    <t>Reserves come from "Forecast prices and costs after royalties</t>
  </si>
  <si>
    <t>Interest income incurred (IS)</t>
  </si>
  <si>
    <t>Noncash costs for capex have been left in total figure</t>
  </si>
  <si>
    <t>Does not include effect pf derivatives</t>
  </si>
  <si>
    <t xml:space="preserve">Figures used in the Sales volume columns are from production (assumed production = sales). </t>
  </si>
  <si>
    <t>in 2014 and 2015 there's an item called Bakken Midstream tariffs. 2 notes about them:
1. Tariffs for 2015 primarily reflect higher volumes processed through the Tioga gas plant which was shut down during the first quarter of 2014 to complete a plant expansion and refurbishment project.  The tariff arrangements were not in place prior to 2014
2. Bakken Midstream tariff arrangements were not in place prior to 2014.  In 2013, Bakken Midstream earned revenues at the Tioga gas plant by purchasing unprocessed natural gas from our E&amp;P business and third-parties, processing those hydrocarbons and selling them back to our E&amp;P business or third-party customers based on a percentage of proceeds</t>
  </si>
  <si>
    <t>"Corporate, interest and other" under RoO</t>
  </si>
  <si>
    <t>Divested Downstream in 2014</t>
  </si>
  <si>
    <t>Production taxes are included in production costs in 10 &amp; 09</t>
  </si>
  <si>
    <t>Hess has VERY high AROs, greatly lowering capex. Notes don't specift whether AROs are US only, but I allocated all of them to US as that's the biggest region for capex.</t>
  </si>
  <si>
    <t>Production costs: Production costs + Technical support and other. In earlier reports, "technical support and other" is called "Administrative expenses"</t>
  </si>
  <si>
    <t>Production taxes are not listed in supplementals, but are listed in consolidated Income statement. Should we assume they are included in productino costs in the supplementals??</t>
  </si>
  <si>
    <t>Occidental</t>
  </si>
  <si>
    <t>Prod costs: Production costs + Other operating expsnses</t>
  </si>
  <si>
    <t>Supplemental Cash flow info has capitalized interest separated out (except '09-'11)</t>
  </si>
  <si>
    <t>Spin-off of California Resources in 2014 caused some large changes to reserve amounts</t>
  </si>
  <si>
    <t>2014 spin-off caused very large differences in sales volumes and prices</t>
  </si>
  <si>
    <t>Doesn't specufy whether hedging is included</t>
  </si>
  <si>
    <t>Pioneer</t>
  </si>
  <si>
    <t>Interest incurred</t>
  </si>
  <si>
    <t>Large change in reporting  from 2014-2015. Affected PUDs more than anything else</t>
  </si>
  <si>
    <t>The note on Asset retirement obligations do not specify how much should be allocated to US. The whole amount is subtracted from US data</t>
  </si>
  <si>
    <t>Range</t>
  </si>
  <si>
    <t>Production costs: Direct Operating + Transportation</t>
  </si>
  <si>
    <t>RRC does not capitalize interest</t>
  </si>
  <si>
    <t xml:space="preserve">Funky Costs incurred section: in earlier reports 'acreage purchases' are not specified to (un)proved. They are significant. Put it in with unproved </t>
  </si>
  <si>
    <t>Includes effect of derivatives and US only</t>
  </si>
  <si>
    <t>In later reports there is no mention at all of (un)proved, just acquisitions and Acreage purchases</t>
  </si>
  <si>
    <t>Gas Gathering Facilities is another line item which is added to development</t>
  </si>
  <si>
    <t>Interest on debt</t>
  </si>
  <si>
    <t>Includes hedges</t>
  </si>
  <si>
    <t>Huge increase in NGL production beginning in 1Q15</t>
  </si>
  <si>
    <t xml:space="preserve">Line item: Average realized gas price per Mcf, including hedges. </t>
  </si>
  <si>
    <t xml:space="preserve">Because of divestitures, be careful which reports you use for which years. </t>
  </si>
  <si>
    <t>Sum of Q1 Gas Price</t>
  </si>
  <si>
    <t>Sum of Q2 Gas Price</t>
  </si>
  <si>
    <t>Sum of Q3 Gas Price</t>
  </si>
  <si>
    <t>Sum of Q4 Gas Price</t>
  </si>
  <si>
    <t>Sum of Q1 Oil Price</t>
  </si>
  <si>
    <t>Sum of Q2 Oil Price</t>
  </si>
  <si>
    <t>Sum of Q3 Oil Price</t>
  </si>
  <si>
    <t>Sum of Q4 Oil Price</t>
  </si>
  <si>
    <t>Sum of Q1 NGL Price</t>
  </si>
  <si>
    <t>Sum of Q2 NGL Price</t>
  </si>
  <si>
    <t>Sum of Q3 NGL Price</t>
  </si>
  <si>
    <t>Sum of Q4 NGL Price</t>
  </si>
  <si>
    <t>Realized Gas Price</t>
  </si>
  <si>
    <t>Average HH Price</t>
  </si>
  <si>
    <t>Realized NGL Price</t>
  </si>
  <si>
    <t>Average EIA NGL Price</t>
  </si>
  <si>
    <t>WTI Annual</t>
  </si>
  <si>
    <t>HH Annual</t>
  </si>
  <si>
    <t>NGL Annual</t>
  </si>
  <si>
    <t>US Oil and Liquids Production</t>
  </si>
  <si>
    <t>US Natural Gas Production</t>
  </si>
  <si>
    <t>US NGL Production</t>
  </si>
  <si>
    <t>US Total Production</t>
  </si>
  <si>
    <t>An Equivalent Barrel</t>
  </si>
  <si>
    <t>Cost Stack with 10% Return ($/BOE)</t>
  </si>
  <si>
    <t>Cost Stack with Return Equal to FD Capex ($/BOE)</t>
  </si>
  <si>
    <t>Cost Stack with 10% Return ($/BCFE)</t>
  </si>
  <si>
    <t>Cost Stack with Return Equal to FD Capex ($/BCFE)</t>
  </si>
  <si>
    <t xml:space="preserve"> </t>
  </si>
  <si>
    <t>3-Year MA Additions &amp; FD Capex</t>
  </si>
  <si>
    <t>3-Year MA Reserve Additions (L)</t>
  </si>
  <si>
    <t>3-Year MA FD Capex (R)</t>
  </si>
  <si>
    <t>3-Year MA FD Costs</t>
  </si>
  <si>
    <t>FD Return</t>
  </si>
  <si>
    <t xml:space="preserve">10% Return </t>
  </si>
  <si>
    <t>US Unproved Property Acquisitions</t>
  </si>
  <si>
    <t>US Proved Property Acquisitions</t>
  </si>
  <si>
    <t>US Exploration Costs</t>
  </si>
  <si>
    <t>US Development Costs</t>
  </si>
  <si>
    <t>US Natural Gas Additions</t>
  </si>
  <si>
    <t>US NGL Additions</t>
  </si>
  <si>
    <t>Annual Capex Spending in the US</t>
  </si>
  <si>
    <t>US All Source Additions (Net of Revisions)</t>
  </si>
  <si>
    <t>Annual Cash Cost Breakdown</t>
  </si>
  <si>
    <t xml:space="preserve">Revisions </t>
  </si>
  <si>
    <t xml:space="preserve">Extensions, Discoveries, Other </t>
  </si>
  <si>
    <t xml:space="preserve">Purchases of Reserves </t>
  </si>
  <si>
    <t xml:space="preserve">Improved Recovery </t>
  </si>
  <si>
    <t>Suspended Exploration Costs</t>
  </si>
  <si>
    <t>Costs Excluded From FC Amort. Pool</t>
  </si>
  <si>
    <t>Natural Gas Share of Annual Production</t>
  </si>
  <si>
    <t>Returns above HH</t>
  </si>
  <si>
    <t>Average of WTI Annual</t>
  </si>
  <si>
    <t>Average of HH Annual</t>
  </si>
  <si>
    <t>Sum of Average Realized Gas Price</t>
  </si>
  <si>
    <t>Sum of Average Realized Oil Price</t>
  </si>
  <si>
    <t>Sum of Average Realized NGL Prices</t>
  </si>
  <si>
    <t>Average of NGL Annual</t>
  </si>
  <si>
    <t>Realized/HH</t>
  </si>
  <si>
    <t>NGL</t>
  </si>
  <si>
    <t>Realized/WTI</t>
  </si>
  <si>
    <t>Realized/EIA</t>
  </si>
  <si>
    <t>US Oil, Condensate Additions</t>
  </si>
  <si>
    <t>Gas Production vs. Total</t>
  </si>
  <si>
    <t>Oil PUDs</t>
  </si>
  <si>
    <t>Gas PUDs</t>
  </si>
  <si>
    <t>NGL PUDs</t>
  </si>
  <si>
    <t>Companies that separate out Oil and NGLs AND show impacts of derivatives:</t>
  </si>
  <si>
    <t>Sothwestern</t>
  </si>
  <si>
    <t>Total Production</t>
  </si>
  <si>
    <t>US PUDs by Product</t>
  </si>
  <si>
    <t>Annual Production</t>
  </si>
  <si>
    <t>US Gas Production</t>
  </si>
  <si>
    <t xml:space="preserve">Production Costs </t>
  </si>
  <si>
    <t xml:space="preserve">G&amp;A and Marketing </t>
  </si>
  <si>
    <t xml:space="preserve">Cash Income Taxes </t>
  </si>
  <si>
    <t xml:space="preserve">Non-Income Taxes </t>
  </si>
  <si>
    <t xml:space="preserve">Total Interest Expense </t>
  </si>
  <si>
    <t xml:space="preserve">Cash Costs/Barrel Produced </t>
  </si>
  <si>
    <t xml:space="preserve"> Total Interest Expense </t>
  </si>
  <si>
    <t>US Capex</t>
  </si>
  <si>
    <t>LOE = Oil and gas operating + Oil and gas transportation + Other operating expense (only for 2015- previously, other was included in transportation)</t>
  </si>
  <si>
    <t>G&amp;A in supplementals (only company who reports it there)</t>
  </si>
  <si>
    <t>Current debt, long term debt, and other</t>
  </si>
  <si>
    <t>Midstream revenue = Gathering processing and Marketing Sales</t>
  </si>
  <si>
    <t xml:space="preserve">Gathering, processing, and marketing costs are prorated AND THEN added to G&amp;A from supplementals. </t>
  </si>
  <si>
    <t>LOE= LOE + Transportation</t>
  </si>
  <si>
    <t>Calculated total debt and got weighted average rate. Calculation on annual waterfall doc</t>
  </si>
  <si>
    <t>Grouped NGLs with oil before 2011</t>
  </si>
  <si>
    <r>
      <t xml:space="preserve">Confusing footnote: </t>
    </r>
    <r>
      <rPr>
        <b/>
        <sz val="11"/>
        <color theme="1"/>
        <rFont val="Calibri"/>
        <family val="2"/>
        <scheme val="minor"/>
      </rPr>
      <t>"Including</t>
    </r>
    <r>
      <rPr>
        <sz val="11"/>
        <color theme="1"/>
        <rFont val="Calibri"/>
        <family val="2"/>
        <scheme val="minor"/>
      </rPr>
      <t xml:space="preserve"> the gain (loss) on </t>
    </r>
    <r>
      <rPr>
        <b/>
        <sz val="11"/>
        <color theme="1"/>
        <rFont val="Calibri"/>
        <family val="2"/>
        <scheme val="minor"/>
      </rPr>
      <t>derivatives</t>
    </r>
    <r>
      <rPr>
        <sz val="11"/>
        <color theme="1"/>
        <rFont val="Calibri"/>
        <family val="2"/>
        <scheme val="minor"/>
      </rPr>
      <t xml:space="preserve"> </t>
    </r>
    <r>
      <rPr>
        <b/>
        <sz val="11"/>
        <color theme="1"/>
        <rFont val="Calibri"/>
        <family val="2"/>
        <scheme val="minor"/>
      </rPr>
      <t>excluding derivatives,</t>
    </r>
    <r>
      <rPr>
        <sz val="11"/>
        <color theme="1"/>
        <rFont val="Calibri"/>
        <family val="2"/>
        <scheme val="minor"/>
      </rPr>
      <t xml:space="preserve"> settled effects of commodity hedging contracts not designated for hedge accounting, results in an average price of $3.71, $3.68, $3.78, and $3.79 per Mcf for the three months ended September 30, 2014 and 2013, and the nine months ended September 30, 2014 and 2013, respectively"</t>
    </r>
  </si>
  <si>
    <t>Production vs. Additions</t>
  </si>
  <si>
    <t>US Production</t>
  </si>
  <si>
    <t>US Additions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</si>
</sst>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8" formatCode="_(* #,##0.0_);_(* \(#,##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sz val="10"/>
      <name val="Arial"/>
      <family val="2"/>
    </font>
    <font>
      <b/>
      <sz val="10"/>
      <name val="Arial"/>
      <family val="2"/>
    </font>
    <font>
      <sz val="8"/>
      <color rgb="FF00000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CC66"/>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bgColor indexed="64"/>
      </patternFill>
    </fill>
    <fill>
      <patternFill patternType="solid">
        <fgColor theme="2"/>
        <bgColor indexed="64"/>
      </patternFill>
    </fill>
    <fill>
      <patternFill patternType="solid">
        <fgColor theme="8" tint="0.79998168889431442"/>
        <bgColor indexed="64"/>
      </patternFill>
    </fill>
    <fill>
      <patternFill patternType="solid">
        <fgColor rgb="FFBACE8C"/>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E4E4E4"/>
        <bgColor indexed="64"/>
      </patternFill>
    </fill>
  </fills>
  <borders count="48">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style="thin">
        <color indexed="64"/>
      </left>
      <right/>
      <top/>
      <bottom/>
      <diagonal/>
    </border>
    <border>
      <left/>
      <right style="thin">
        <color indexed="64"/>
      </right>
      <top/>
      <bottom/>
      <diagonal/>
    </border>
    <border>
      <left style="hair">
        <color auto="1"/>
      </left>
      <right style="hair">
        <color auto="1"/>
      </right>
      <top style="hair">
        <color auto="1"/>
      </top>
      <bottom/>
      <diagonal/>
    </border>
    <border>
      <left/>
      <right style="hair">
        <color indexed="64"/>
      </right>
      <top/>
      <bottom style="hair">
        <color indexed="64"/>
      </bottom>
      <diagonal/>
    </border>
    <border>
      <left/>
      <right style="medium">
        <color indexed="64"/>
      </right>
      <top/>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medium">
        <color auto="1"/>
      </left>
      <right/>
      <top/>
      <bottom/>
      <diagonal/>
    </border>
    <border>
      <left style="medium">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style="hair">
        <color auto="1"/>
      </right>
      <top/>
      <bottom style="thin">
        <color auto="1"/>
      </bottom>
      <diagonal/>
    </border>
    <border>
      <left/>
      <right style="hair">
        <color auto="1"/>
      </right>
      <top style="hair">
        <color auto="1"/>
      </top>
      <bottom style="thin">
        <color indexed="64"/>
      </bottom>
      <diagonal/>
    </border>
    <border>
      <left style="medium">
        <color auto="1"/>
      </left>
      <right style="hair">
        <color indexed="64"/>
      </right>
      <top style="hair">
        <color auto="1"/>
      </top>
      <bottom style="thin">
        <color indexed="64"/>
      </bottom>
      <diagonal/>
    </border>
    <border>
      <left style="hair">
        <color auto="1"/>
      </left>
      <right style="medium">
        <color indexed="64"/>
      </right>
      <top style="hair">
        <color auto="1"/>
      </top>
      <bottom style="thin">
        <color indexed="64"/>
      </bottom>
      <diagonal/>
    </border>
    <border>
      <left/>
      <right/>
      <top/>
      <bottom style="thin">
        <color indexed="64"/>
      </bottom>
      <diagonal/>
    </border>
    <border>
      <left style="hair">
        <color auto="1"/>
      </left>
      <right style="hair">
        <color auto="1"/>
      </right>
      <top/>
      <bottom/>
      <diagonal/>
    </border>
    <border>
      <left style="medium">
        <color auto="1"/>
      </left>
      <right style="hair">
        <color indexed="64"/>
      </right>
      <top style="hair">
        <color auto="1"/>
      </top>
      <bottom/>
      <diagonal/>
    </border>
    <border>
      <left style="hair">
        <color auto="1"/>
      </left>
      <right style="medium">
        <color indexed="64"/>
      </right>
      <top style="hair">
        <color auto="1"/>
      </top>
      <bottom/>
      <diagonal/>
    </border>
    <border>
      <left/>
      <right style="hair">
        <color auto="1"/>
      </right>
      <top style="hair">
        <color auto="1"/>
      </top>
      <bottom/>
      <diagonal/>
    </border>
    <border>
      <left style="hair">
        <color auto="1"/>
      </left>
      <right style="medium">
        <color indexed="64"/>
      </right>
      <top/>
      <bottom/>
      <diagonal/>
    </border>
    <border>
      <left/>
      <right style="hair">
        <color auto="1"/>
      </right>
      <top/>
      <bottom/>
      <diagonal/>
    </border>
    <border>
      <left style="medium">
        <color auto="1"/>
      </left>
      <right style="hair">
        <color auto="1"/>
      </right>
      <top/>
      <bottom style="hair">
        <color auto="1"/>
      </bottom>
      <diagonal/>
    </border>
    <border>
      <left style="hair">
        <color auto="1"/>
      </left>
      <right style="medium">
        <color indexed="64"/>
      </right>
      <top/>
      <bottom style="thin">
        <color indexed="64"/>
      </bottom>
      <diagonal/>
    </border>
    <border>
      <left/>
      <right style="hair">
        <color auto="1"/>
      </right>
      <top/>
      <bottom style="thin">
        <color indexed="64"/>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s>
  <cellStyleXfs count="10">
    <xf numFmtId="0" fontId="0" fillId="0" borderId="0"/>
    <xf numFmtId="43" fontId="1"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cellStyleXfs>
  <cellXfs count="370">
    <xf numFmtId="0" fontId="0" fillId="0" borderId="0" xfId="0"/>
    <xf numFmtId="0" fontId="0" fillId="0" borderId="0" xfId="0" applyFont="1" applyAlignment="1">
      <alignment wrapText="1"/>
    </xf>
    <xf numFmtId="0" fontId="0" fillId="2" borderId="0" xfId="0" applyFont="1" applyFill="1" applyAlignment="1">
      <alignment wrapText="1"/>
    </xf>
    <xf numFmtId="0" fontId="0" fillId="2" borderId="0" xfId="0" applyFont="1" applyFill="1" applyAlignment="1">
      <alignment horizontal="center"/>
    </xf>
    <xf numFmtId="0" fontId="0" fillId="2" borderId="0" xfId="0" applyFill="1"/>
    <xf numFmtId="0" fontId="0" fillId="3" borderId="0" xfId="0" applyFont="1" applyFill="1" applyAlignment="1">
      <alignment wrapText="1"/>
    </xf>
    <xf numFmtId="0" fontId="2" fillId="3" borderId="0" xfId="0" applyNumberFormat="1" applyFont="1" applyFill="1" applyAlignment="1">
      <alignment wrapText="1"/>
    </xf>
    <xf numFmtId="0" fontId="0" fillId="3" borderId="0" xfId="0" applyFont="1" applyFill="1" applyAlignment="1">
      <alignment horizontal="center"/>
    </xf>
    <xf numFmtId="0" fontId="0" fillId="4" borderId="0" xfId="0" applyNumberFormat="1" applyFont="1" applyFill="1" applyAlignment="1">
      <alignment wrapText="1"/>
    </xf>
    <xf numFmtId="0" fontId="0" fillId="4" borderId="0" xfId="0" applyNumberFormat="1" applyFont="1" applyFill="1" applyAlignment="1">
      <alignment horizontal="center"/>
    </xf>
    <xf numFmtId="0" fontId="2" fillId="5" borderId="0" xfId="0" applyNumberFormat="1" applyFont="1" applyFill="1" applyAlignment="1">
      <alignment wrapText="1"/>
    </xf>
    <xf numFmtId="0" fontId="0" fillId="5" borderId="0" xfId="0" applyNumberFormat="1" applyFont="1" applyFill="1" applyAlignment="1">
      <alignment wrapText="1"/>
    </xf>
    <xf numFmtId="0" fontId="2" fillId="5" borderId="0" xfId="0" applyNumberFormat="1" applyFont="1" applyFill="1" applyAlignment="1">
      <alignment horizontal="center"/>
    </xf>
    <xf numFmtId="0" fontId="0" fillId="5" borderId="0" xfId="0" applyFill="1"/>
    <xf numFmtId="0" fontId="0" fillId="6" borderId="0" xfId="0" applyNumberFormat="1" applyFont="1" applyFill="1" applyAlignment="1">
      <alignment wrapText="1"/>
    </xf>
    <xf numFmtId="0" fontId="3" fillId="0" borderId="0" xfId="0" applyFont="1" applyFill="1" applyAlignment="1">
      <alignment wrapText="1"/>
    </xf>
    <xf numFmtId="0" fontId="0" fillId="0" borderId="0" xfId="0" applyFont="1" applyFill="1" applyBorder="1" applyAlignment="1">
      <alignment wrapText="1"/>
    </xf>
    <xf numFmtId="0" fontId="0" fillId="0" borderId="0" xfId="0" quotePrefix="1" applyFont="1" applyFill="1" applyAlignment="1">
      <alignment wrapText="1"/>
    </xf>
    <xf numFmtId="0" fontId="0" fillId="7" borderId="0" xfId="0" quotePrefix="1" applyFont="1" applyFill="1" applyAlignment="1">
      <alignment wrapText="1"/>
    </xf>
    <xf numFmtId="4" fontId="0" fillId="0" borderId="0" xfId="0" quotePrefix="1" applyNumberFormat="1" applyFont="1" applyFill="1" applyAlignment="1">
      <alignment wrapText="1"/>
    </xf>
    <xf numFmtId="0" fontId="2" fillId="0" borderId="0" xfId="0" quotePrefix="1" applyFont="1" applyFill="1" applyAlignment="1">
      <alignment wrapText="1"/>
    </xf>
    <xf numFmtId="0" fontId="2" fillId="0" borderId="0" xfId="0" applyFont="1" applyFill="1" applyAlignment="1">
      <alignment wrapText="1"/>
    </xf>
    <xf numFmtId="0" fontId="0" fillId="0" borderId="0" xfId="0" applyFont="1" applyFill="1" applyAlignment="1">
      <alignment wrapText="1"/>
    </xf>
    <xf numFmtId="0" fontId="2" fillId="0" borderId="0" xfId="0" applyFont="1" applyAlignment="1">
      <alignment wrapText="1"/>
    </xf>
    <xf numFmtId="0" fontId="4" fillId="0" borderId="0" xfId="0" applyFont="1" applyAlignment="1">
      <alignment wrapText="1"/>
    </xf>
    <xf numFmtId="165" fontId="0" fillId="0" borderId="0" xfId="1" applyNumberFormat="1" applyFont="1" applyFill="1" applyAlignment="1">
      <alignment horizontal="right" wrapText="1"/>
    </xf>
    <xf numFmtId="164" fontId="0" fillId="0" borderId="0" xfId="0" applyNumberFormat="1" applyFont="1" applyFill="1" applyAlignment="1">
      <alignment horizontal="right" wrapText="1"/>
    </xf>
    <xf numFmtId="0" fontId="0" fillId="7" borderId="0" xfId="0" applyFont="1" applyFill="1" applyAlignment="1">
      <alignment horizontal="right" wrapText="1"/>
    </xf>
    <xf numFmtId="1" fontId="0" fillId="0" borderId="0" xfId="0" applyNumberFormat="1" applyFont="1" applyFill="1" applyAlignment="1">
      <alignment horizontal="right" wrapText="1"/>
    </xf>
    <xf numFmtId="1" fontId="2" fillId="0" borderId="0" xfId="0" applyNumberFormat="1" applyFont="1" applyFill="1" applyAlignment="1">
      <alignment horizontal="right" wrapText="1"/>
    </xf>
    <xf numFmtId="2" fontId="0" fillId="0" borderId="0" xfId="0" applyNumberFormat="1" applyFont="1" applyFill="1" applyAlignment="1">
      <alignment horizontal="right" wrapText="1"/>
    </xf>
    <xf numFmtId="44" fontId="2" fillId="0" borderId="0" xfId="0" applyNumberFormat="1" applyFont="1" applyAlignment="1">
      <alignment horizontal="right" wrapText="1"/>
    </xf>
    <xf numFmtId="165" fontId="2" fillId="0" borderId="0" xfId="1" applyNumberFormat="1" applyFont="1" applyAlignment="1">
      <alignment horizontal="right"/>
    </xf>
    <xf numFmtId="0" fontId="0" fillId="0" borderId="0" xfId="0" applyNumberFormat="1" applyFont="1" applyAlignment="1">
      <alignment horizontal="right"/>
    </xf>
    <xf numFmtId="165" fontId="0" fillId="0" borderId="0" xfId="1" applyNumberFormat="1" applyFont="1" applyAlignment="1">
      <alignment horizontal="right"/>
    </xf>
    <xf numFmtId="3" fontId="2" fillId="0" borderId="0" xfId="0" applyNumberFormat="1" applyFont="1" applyAlignment="1">
      <alignment horizontal="right" wrapText="1"/>
    </xf>
    <xf numFmtId="0" fontId="0" fillId="0" borderId="0" xfId="0" applyNumberFormat="1" applyFont="1" applyAlignment="1">
      <alignment horizontal="right" wrapText="1"/>
    </xf>
    <xf numFmtId="0" fontId="0" fillId="0" borderId="0" xfId="0" applyNumberFormat="1" applyFont="1" applyAlignment="1">
      <alignment wrapText="1"/>
    </xf>
    <xf numFmtId="44" fontId="0" fillId="0" borderId="0" xfId="0" applyNumberFormat="1" applyFont="1" applyAlignment="1">
      <alignment horizontal="right" wrapText="1"/>
    </xf>
    <xf numFmtId="0" fontId="4" fillId="0" borderId="0" xfId="0" applyFont="1" applyFill="1" applyAlignment="1">
      <alignment wrapText="1"/>
    </xf>
    <xf numFmtId="165" fontId="2" fillId="0" borderId="0" xfId="1" applyNumberFormat="1" applyFont="1" applyFill="1" applyAlignment="1">
      <alignment horizontal="right"/>
    </xf>
    <xf numFmtId="0" fontId="4" fillId="0" borderId="1" xfId="0" applyFont="1" applyBorder="1" applyAlignment="1">
      <alignment wrapText="1"/>
    </xf>
    <xf numFmtId="0" fontId="0" fillId="0" borderId="1" xfId="0" applyFont="1" applyBorder="1" applyAlignment="1">
      <alignment wrapText="1"/>
    </xf>
    <xf numFmtId="0" fontId="4" fillId="0" borderId="0" xfId="0" applyFont="1" applyBorder="1" applyAlignment="1">
      <alignment wrapText="1"/>
    </xf>
    <xf numFmtId="0" fontId="0" fillId="7" borderId="0" xfId="0" applyFont="1" applyFill="1" applyBorder="1" applyAlignment="1">
      <alignment horizontal="right" wrapText="1"/>
    </xf>
    <xf numFmtId="1" fontId="0" fillId="0" borderId="0" xfId="0" applyNumberFormat="1" applyFont="1" applyFill="1" applyBorder="1" applyAlignment="1">
      <alignment horizontal="right" wrapText="1"/>
    </xf>
    <xf numFmtId="2" fontId="0" fillId="0" borderId="0" xfId="0" applyNumberFormat="1" applyFont="1" applyFill="1" applyBorder="1" applyAlignment="1">
      <alignment horizontal="right" wrapText="1"/>
    </xf>
    <xf numFmtId="165" fontId="2" fillId="0" borderId="0" xfId="1" applyNumberFormat="1" applyFont="1" applyBorder="1" applyAlignment="1">
      <alignment horizontal="right"/>
    </xf>
    <xf numFmtId="165" fontId="0" fillId="0" borderId="0" xfId="1" applyNumberFormat="1" applyFont="1" applyBorder="1" applyAlignment="1">
      <alignment horizontal="right"/>
    </xf>
    <xf numFmtId="3" fontId="2" fillId="0" borderId="0" xfId="0" applyNumberFormat="1" applyFont="1" applyBorder="1" applyAlignment="1">
      <alignment horizontal="right" wrapText="1"/>
    </xf>
    <xf numFmtId="44" fontId="2" fillId="0" borderId="0" xfId="0" applyNumberFormat="1" applyFont="1" applyBorder="1" applyAlignment="1">
      <alignment horizontal="right" wrapText="1"/>
    </xf>
    <xf numFmtId="0" fontId="0" fillId="0" borderId="0" xfId="0" applyNumberFormat="1" applyFont="1" applyBorder="1" applyAlignment="1">
      <alignment wrapText="1"/>
    </xf>
    <xf numFmtId="165" fontId="0" fillId="0" borderId="0" xfId="1" applyNumberFormat="1" applyFont="1" applyFill="1" applyBorder="1" applyAlignment="1">
      <alignment horizontal="right" wrapText="1"/>
    </xf>
    <xf numFmtId="0" fontId="0" fillId="0" borderId="0" xfId="0" applyFont="1" applyBorder="1" applyAlignment="1">
      <alignment wrapText="1"/>
    </xf>
    <xf numFmtId="164" fontId="0" fillId="0" borderId="0" xfId="0" applyNumberFormat="1" applyFont="1" applyFill="1" applyBorder="1" applyAlignment="1">
      <alignment horizontal="right" wrapText="1"/>
    </xf>
    <xf numFmtId="1" fontId="2" fillId="0" borderId="0" xfId="0" applyNumberFormat="1" applyFont="1" applyFill="1" applyBorder="1" applyAlignment="1">
      <alignment horizontal="right" wrapText="1"/>
    </xf>
    <xf numFmtId="44" fontId="0" fillId="0" borderId="0" xfId="0" applyNumberFormat="1" applyFont="1" applyBorder="1" applyAlignment="1">
      <alignment horizontal="right" wrapText="1"/>
    </xf>
    <xf numFmtId="43" fontId="0" fillId="0" borderId="0" xfId="1" applyNumberFormat="1" applyFont="1" applyAlignment="1">
      <alignment horizontal="right"/>
    </xf>
    <xf numFmtId="165" fontId="0" fillId="0" borderId="0" xfId="0" applyNumberFormat="1"/>
    <xf numFmtId="43" fontId="0" fillId="0" borderId="0" xfId="0" applyNumberFormat="1"/>
    <xf numFmtId="44" fontId="0" fillId="0" borderId="0" xfId="0" applyNumberFormat="1"/>
    <xf numFmtId="0" fontId="10" fillId="0" borderId="0" xfId="2" applyFont="1" applyAlignment="1">
      <alignment wrapText="1"/>
    </xf>
    <xf numFmtId="165" fontId="10" fillId="0" borderId="0" xfId="1" applyNumberFormat="1" applyFont="1" applyFill="1" applyAlignment="1">
      <alignment horizontal="right"/>
    </xf>
    <xf numFmtId="165" fontId="10" fillId="0" borderId="0" xfId="1" applyNumberFormat="1" applyFont="1" applyFill="1"/>
    <xf numFmtId="0" fontId="0" fillId="0" borderId="0" xfId="0" applyAlignment="1">
      <alignment horizontal="left"/>
    </xf>
    <xf numFmtId="0" fontId="0" fillId="0" borderId="0" xfId="0" pivotButton="1"/>
    <xf numFmtId="0" fontId="0" fillId="0" borderId="0" xfId="0" applyNumberFormat="1"/>
    <xf numFmtId="2" fontId="0" fillId="0" borderId="0" xfId="0" applyNumberFormat="1"/>
    <xf numFmtId="0" fontId="0" fillId="0" borderId="0" xfId="0" applyAlignment="1">
      <alignment wrapText="1"/>
    </xf>
    <xf numFmtId="0" fontId="0" fillId="0" borderId="0" xfId="0" pivotButton="1" applyAlignment="1">
      <alignment wrapText="1"/>
    </xf>
    <xf numFmtId="1" fontId="0" fillId="0" borderId="0" xfId="0" applyNumberFormat="1" applyAlignment="1">
      <alignment horizontal="left" wrapText="1"/>
    </xf>
    <xf numFmtId="0" fontId="0" fillId="0" borderId="0" xfId="0" applyAlignment="1">
      <alignment horizontal="left" wrapText="1"/>
    </xf>
    <xf numFmtId="1" fontId="0" fillId="0" borderId="0" xfId="0" applyNumberFormat="1" applyAlignment="1">
      <alignment horizontal="left"/>
    </xf>
    <xf numFmtId="43" fontId="0" fillId="0" borderId="0" xfId="1" applyFont="1" applyAlignment="1">
      <alignment horizontal="left"/>
    </xf>
    <xf numFmtId="43" fontId="0" fillId="0" borderId="0" xfId="1" applyFont="1"/>
    <xf numFmtId="0" fontId="0" fillId="0" borderId="0" xfId="0" applyAlignment="1"/>
    <xf numFmtId="165" fontId="0" fillId="4" borderId="0" xfId="1" applyNumberFormat="1" applyFont="1" applyFill="1" applyAlignment="1">
      <alignment wrapText="1"/>
    </xf>
    <xf numFmtId="0" fontId="0" fillId="10" borderId="0" xfId="0" applyFill="1"/>
    <xf numFmtId="165" fontId="0" fillId="0" borderId="0" xfId="1" applyNumberFormat="1" applyFont="1" applyFill="1" applyAlignment="1">
      <alignment wrapText="1"/>
    </xf>
    <xf numFmtId="0" fontId="3" fillId="0" borderId="0" xfId="0" applyFont="1" applyAlignment="1">
      <alignment wrapText="1"/>
    </xf>
    <xf numFmtId="0" fontId="0" fillId="0" borderId="0" xfId="0" applyFont="1"/>
    <xf numFmtId="2" fontId="0" fillId="0" borderId="0" xfId="0" applyNumberFormat="1" applyFill="1"/>
    <xf numFmtId="0" fontId="0" fillId="0" borderId="0" xfId="0" applyBorder="1"/>
    <xf numFmtId="8" fontId="0" fillId="0" borderId="0" xfId="0" applyNumberFormat="1"/>
    <xf numFmtId="8" fontId="0" fillId="0" borderId="0" xfId="0" applyNumberFormat="1" applyBorder="1"/>
    <xf numFmtId="9" fontId="0" fillId="0" borderId="0" xfId="0" applyNumberFormat="1"/>
    <xf numFmtId="4" fontId="0" fillId="0" borderId="0" xfId="0" applyNumberFormat="1"/>
    <xf numFmtId="0" fontId="0" fillId="6" borderId="0" xfId="0" applyFont="1" applyFill="1"/>
    <xf numFmtId="0" fontId="0" fillId="0" borderId="0" xfId="0" applyFont="1" applyFill="1" applyAlignment="1">
      <alignment horizontal="right" wrapText="1"/>
    </xf>
    <xf numFmtId="8" fontId="0" fillId="0" borderId="0" xfId="0" applyNumberFormat="1" applyFont="1" applyAlignment="1">
      <alignment horizontal="right" wrapText="1"/>
    </xf>
    <xf numFmtId="44" fontId="0" fillId="0" borderId="0" xfId="0" applyNumberFormat="1" applyFont="1" applyFill="1" applyAlignment="1">
      <alignment horizontal="right" wrapText="1"/>
    </xf>
    <xf numFmtId="44" fontId="0" fillId="0" borderId="0" xfId="0" applyNumberFormat="1" applyFont="1" applyFill="1" applyBorder="1" applyAlignment="1">
      <alignment horizontal="right" wrapText="1"/>
    </xf>
    <xf numFmtId="0" fontId="3" fillId="11" borderId="0" xfId="0" applyFont="1" applyFill="1"/>
    <xf numFmtId="165" fontId="0" fillId="13" borderId="5" xfId="1" applyNumberFormat="1" applyFont="1" applyFill="1" applyBorder="1"/>
    <xf numFmtId="165" fontId="0" fillId="3" borderId="5" xfId="1" applyNumberFormat="1" applyFont="1" applyFill="1" applyBorder="1"/>
    <xf numFmtId="165" fontId="0" fillId="12" borderId="5" xfId="1" applyNumberFormat="1" applyFont="1" applyFill="1" applyBorder="1"/>
    <xf numFmtId="165" fontId="0" fillId="13" borderId="2" xfId="1" applyNumberFormat="1" applyFont="1" applyFill="1" applyBorder="1"/>
    <xf numFmtId="165" fontId="0" fillId="3" borderId="2" xfId="1" applyNumberFormat="1" applyFont="1" applyFill="1" applyBorder="1"/>
    <xf numFmtId="165" fontId="0" fillId="10" borderId="2" xfId="1" applyNumberFormat="1" applyFont="1" applyFill="1" applyBorder="1"/>
    <xf numFmtId="165" fontId="0" fillId="12" borderId="2" xfId="1" applyNumberFormat="1" applyFont="1" applyFill="1" applyBorder="1"/>
    <xf numFmtId="165" fontId="0" fillId="3" borderId="3" xfId="1" applyNumberFormat="1" applyFont="1" applyFill="1" applyBorder="1"/>
    <xf numFmtId="165" fontId="0" fillId="10" borderId="3" xfId="1" applyNumberFormat="1" applyFont="1" applyFill="1" applyBorder="1"/>
    <xf numFmtId="165" fontId="0" fillId="12" borderId="9" xfId="1" applyNumberFormat="1" applyFont="1" applyFill="1" applyBorder="1"/>
    <xf numFmtId="165" fontId="0" fillId="12" borderId="3" xfId="1" applyNumberFormat="1" applyFont="1" applyFill="1" applyBorder="1"/>
    <xf numFmtId="165" fontId="0" fillId="13" borderId="14" xfId="1" applyNumberFormat="1" applyFont="1" applyFill="1" applyBorder="1"/>
    <xf numFmtId="165" fontId="0" fillId="4" borderId="5" xfId="1" applyNumberFormat="1" applyFont="1" applyFill="1" applyBorder="1"/>
    <xf numFmtId="165" fontId="0" fillId="4" borderId="3" xfId="1" applyNumberFormat="1" applyFont="1" applyFill="1" applyBorder="1"/>
    <xf numFmtId="165" fontId="0" fillId="4" borderId="2" xfId="1" applyNumberFormat="1" applyFont="1" applyFill="1" applyBorder="1"/>
    <xf numFmtId="43" fontId="0" fillId="13" borderId="12" xfId="1" applyNumberFormat="1" applyFont="1" applyFill="1" applyBorder="1"/>
    <xf numFmtId="43" fontId="0" fillId="4" borderId="12" xfId="1" applyNumberFormat="1" applyFont="1" applyFill="1" applyBorder="1"/>
    <xf numFmtId="43" fontId="0" fillId="3" borderId="12" xfId="1" applyNumberFormat="1" applyFont="1" applyFill="1" applyBorder="1"/>
    <xf numFmtId="43" fontId="0" fillId="10" borderId="11" xfId="1" applyNumberFormat="1" applyFont="1" applyFill="1" applyBorder="1"/>
    <xf numFmtId="43" fontId="0" fillId="12" borderId="11" xfId="1" applyNumberFormat="1" applyFont="1" applyFill="1" applyBorder="1"/>
    <xf numFmtId="43" fontId="0" fillId="12" borderId="12" xfId="1" applyNumberFormat="1" applyFont="1" applyFill="1" applyBorder="1"/>
    <xf numFmtId="0" fontId="0" fillId="14" borderId="0" xfId="0" applyFill="1"/>
    <xf numFmtId="0" fontId="0" fillId="0" borderId="0" xfId="0" applyFill="1" applyBorder="1"/>
    <xf numFmtId="43" fontId="0" fillId="0" borderId="0" xfId="1" applyNumberFormat="1" applyFont="1"/>
    <xf numFmtId="0" fontId="0" fillId="0" borderId="0" xfId="0" applyFill="1"/>
    <xf numFmtId="0" fontId="0" fillId="0" borderId="18" xfId="0" applyFill="1" applyBorder="1"/>
    <xf numFmtId="0" fontId="0" fillId="0" borderId="0" xfId="0" applyAlignment="1">
      <alignment horizontal="center"/>
    </xf>
    <xf numFmtId="44" fontId="0" fillId="0" borderId="0" xfId="6" applyFont="1" applyBorder="1"/>
    <xf numFmtId="44" fontId="0" fillId="0" borderId="21" xfId="6" applyFont="1" applyBorder="1"/>
    <xf numFmtId="44" fontId="0" fillId="0" borderId="19" xfId="6" applyFont="1" applyBorder="1"/>
    <xf numFmtId="44" fontId="0" fillId="0" borderId="22" xfId="6" applyFont="1" applyBorder="1"/>
    <xf numFmtId="0" fontId="0" fillId="0" borderId="15" xfId="0" applyFill="1" applyBorder="1"/>
    <xf numFmtId="0" fontId="0" fillId="0" borderId="13" xfId="0" applyFill="1" applyBorder="1"/>
    <xf numFmtId="0" fontId="0" fillId="0" borderId="16" xfId="0" applyFill="1" applyBorder="1" applyAlignment="1"/>
    <xf numFmtId="0" fontId="0" fillId="0" borderId="17" xfId="0" applyFill="1" applyBorder="1" applyAlignment="1"/>
    <xf numFmtId="0" fontId="0" fillId="0" borderId="20" xfId="0" applyBorder="1" applyAlignment="1"/>
    <xf numFmtId="43" fontId="0" fillId="10" borderId="12" xfId="1" applyNumberFormat="1" applyFont="1" applyFill="1" applyBorder="1"/>
    <xf numFmtId="0" fontId="0" fillId="15" borderId="0" xfId="0" applyFill="1"/>
    <xf numFmtId="0" fontId="4" fillId="0" borderId="0" xfId="0" applyFont="1" applyFill="1" applyBorder="1" applyAlignment="1">
      <alignment wrapText="1"/>
    </xf>
    <xf numFmtId="2" fontId="0" fillId="8" borderId="2" xfId="0" applyNumberFormat="1" applyFill="1" applyBorder="1"/>
    <xf numFmtId="2" fontId="0" fillId="9" borderId="2" xfId="0" applyNumberFormat="1" applyFill="1" applyBorder="1"/>
    <xf numFmtId="0" fontId="11" fillId="0" borderId="0" xfId="0" applyFont="1"/>
    <xf numFmtId="0" fontId="13" fillId="17" borderId="0" xfId="8"/>
    <xf numFmtId="0" fontId="14" fillId="18" borderId="0" xfId="9"/>
    <xf numFmtId="0" fontId="12" fillId="16" borderId="0" xfId="7"/>
    <xf numFmtId="164" fontId="0" fillId="0" borderId="0" xfId="0" applyNumberFormat="1"/>
    <xf numFmtId="44" fontId="0" fillId="0" borderId="0" xfId="0" applyNumberFormat="1" applyFont="1"/>
    <xf numFmtId="164" fontId="0" fillId="0" borderId="0" xfId="5" applyNumberFormat="1" applyFont="1" applyAlignment="1">
      <alignment horizontal="right" wrapText="1"/>
    </xf>
    <xf numFmtId="164" fontId="0" fillId="0" borderId="0" xfId="5" applyNumberFormat="1" applyFont="1" applyBorder="1" applyAlignment="1">
      <alignment horizontal="right" wrapText="1"/>
    </xf>
    <xf numFmtId="8" fontId="0" fillId="0" borderId="0" xfId="0" applyNumberFormat="1" applyFont="1"/>
    <xf numFmtId="9" fontId="0" fillId="0" borderId="0" xfId="0" applyNumberFormat="1" applyFont="1"/>
    <xf numFmtId="0" fontId="3" fillId="0" borderId="0" xfId="0" applyFont="1" applyAlignment="1">
      <alignment horizontal="center" wrapText="1"/>
    </xf>
    <xf numFmtId="164" fontId="0" fillId="0" borderId="0" xfId="0" applyNumberFormat="1" applyFont="1" applyAlignment="1">
      <alignment horizontal="right" wrapText="1"/>
    </xf>
    <xf numFmtId="0" fontId="0" fillId="0" borderId="15" xfId="0" applyBorder="1"/>
    <xf numFmtId="0" fontId="0" fillId="0" borderId="16" xfId="0" applyBorder="1"/>
    <xf numFmtId="0" fontId="0" fillId="0" borderId="17" xfId="0" applyBorder="1"/>
    <xf numFmtId="0" fontId="0" fillId="0" borderId="13" xfId="0" applyBorder="1"/>
    <xf numFmtId="0" fontId="0" fillId="0" borderId="10" xfId="0" applyBorder="1"/>
    <xf numFmtId="8" fontId="0" fillId="0" borderId="13" xfId="0" applyNumberFormat="1" applyBorder="1"/>
    <xf numFmtId="164" fontId="0" fillId="0" borderId="10" xfId="0" applyNumberFormat="1" applyBorder="1"/>
    <xf numFmtId="8" fontId="0" fillId="0" borderId="18" xfId="0" applyNumberFormat="1" applyBorder="1"/>
    <xf numFmtId="8" fontId="0" fillId="0" borderId="19" xfId="0" applyNumberFormat="1" applyBorder="1"/>
    <xf numFmtId="164" fontId="0" fillId="0" borderId="23" xfId="0" applyNumberFormat="1" applyBorder="1"/>
    <xf numFmtId="8" fontId="0" fillId="0" borderId="15" xfId="0" applyNumberFormat="1" applyBorder="1"/>
    <xf numFmtId="0" fontId="0" fillId="19" borderId="24" xfId="0" applyFill="1" applyBorder="1"/>
    <xf numFmtId="0" fontId="0" fillId="19" borderId="25" xfId="0" applyFill="1" applyBorder="1"/>
    <xf numFmtId="0" fontId="0" fillId="19" borderId="26" xfId="0" applyFill="1" applyBorder="1"/>
    <xf numFmtId="0" fontId="0" fillId="19" borderId="14" xfId="0" applyFill="1" applyBorder="1"/>
    <xf numFmtId="0" fontId="0" fillId="19" borderId="2" xfId="0" applyFill="1" applyBorder="1"/>
    <xf numFmtId="0" fontId="0" fillId="19" borderId="12" xfId="0" applyFill="1" applyBorder="1"/>
    <xf numFmtId="8" fontId="0" fillId="19" borderId="14" xfId="0" applyNumberFormat="1" applyFill="1" applyBorder="1"/>
    <xf numFmtId="8" fontId="0" fillId="19" borderId="2" xfId="0" applyNumberFormat="1" applyFill="1" applyBorder="1"/>
    <xf numFmtId="164" fontId="0" fillId="19" borderId="12" xfId="0" applyNumberFormat="1" applyFill="1" applyBorder="1"/>
    <xf numFmtId="8" fontId="0" fillId="19" borderId="27" xfId="0" applyNumberFormat="1" applyFill="1" applyBorder="1"/>
    <xf numFmtId="8" fontId="0" fillId="19" borderId="28" xfId="0" applyNumberFormat="1" applyFill="1" applyBorder="1"/>
    <xf numFmtId="164" fontId="0" fillId="19" borderId="29" xfId="0" applyNumberFormat="1" applyFill="1" applyBorder="1"/>
    <xf numFmtId="165" fontId="0" fillId="0" borderId="0" xfId="1" applyNumberFormat="1" applyFont="1" applyBorder="1"/>
    <xf numFmtId="0" fontId="0" fillId="14" borderId="0" xfId="0" applyFill="1" applyBorder="1"/>
    <xf numFmtId="0" fontId="0" fillId="0" borderId="0" xfId="0" applyFill="1" applyBorder="1" applyAlignment="1">
      <alignment wrapText="1"/>
    </xf>
    <xf numFmtId="0" fontId="0" fillId="20" borderId="0" xfId="0" applyFill="1"/>
    <xf numFmtId="164" fontId="0" fillId="0" borderId="0" xfId="0" applyNumberFormat="1" applyFont="1" applyBorder="1" applyAlignment="1">
      <alignment horizontal="right" wrapText="1"/>
    </xf>
    <xf numFmtId="165" fontId="10" fillId="0" borderId="0" xfId="1" applyNumberFormat="1" applyFont="1" applyBorder="1"/>
    <xf numFmtId="0" fontId="0" fillId="0" borderId="0" xfId="0" applyBorder="1" applyAlignment="1">
      <alignment wrapText="1"/>
    </xf>
    <xf numFmtId="43" fontId="0" fillId="0" borderId="0" xfId="0" applyNumberFormat="1" applyBorder="1"/>
    <xf numFmtId="0" fontId="0" fillId="0" borderId="0" xfId="0" applyBorder="1" applyAlignment="1">
      <alignment horizontal="center"/>
    </xf>
    <xf numFmtId="0" fontId="13" fillId="17" borderId="0" xfId="8" applyBorder="1"/>
    <xf numFmtId="0" fontId="14" fillId="18" borderId="0" xfId="9" applyBorder="1"/>
    <xf numFmtId="0" fontId="12" fillId="16" borderId="0" xfId="7" applyBorder="1"/>
    <xf numFmtId="43" fontId="0" fillId="0" borderId="0" xfId="0" applyNumberFormat="1" applyFill="1" applyBorder="1"/>
    <xf numFmtId="0" fontId="0" fillId="15" borderId="0" xfId="0" applyFill="1" applyBorder="1"/>
    <xf numFmtId="165" fontId="0" fillId="13" borderId="4" xfId="1" applyNumberFormat="1" applyFont="1" applyFill="1" applyBorder="1"/>
    <xf numFmtId="165" fontId="0" fillId="4" borderId="4" xfId="1" applyNumberFormat="1" applyFont="1" applyFill="1" applyBorder="1"/>
    <xf numFmtId="165" fontId="0" fillId="3" borderId="4" xfId="1" applyNumberFormat="1" applyFont="1" applyFill="1" applyBorder="1"/>
    <xf numFmtId="165" fontId="0" fillId="10" borderId="4" xfId="1" applyNumberFormat="1" applyFont="1" applyFill="1" applyBorder="1"/>
    <xf numFmtId="165" fontId="0" fillId="12" borderId="4" xfId="1" applyNumberFormat="1" applyFont="1" applyFill="1" applyBorder="1"/>
    <xf numFmtId="165" fontId="0" fillId="13" borderId="32" xfId="1" applyNumberFormat="1" applyFont="1" applyFill="1" applyBorder="1"/>
    <xf numFmtId="43" fontId="0" fillId="13" borderId="33" xfId="1" applyNumberFormat="1" applyFont="1" applyFill="1" applyBorder="1"/>
    <xf numFmtId="165" fontId="0" fillId="4" borderId="31" xfId="1" applyNumberFormat="1" applyFont="1" applyFill="1" applyBorder="1"/>
    <xf numFmtId="43" fontId="0" fillId="4" borderId="33" xfId="1" applyNumberFormat="1" applyFont="1" applyFill="1" applyBorder="1"/>
    <xf numFmtId="165" fontId="0" fillId="3" borderId="31" xfId="1" applyNumberFormat="1" applyFont="1" applyFill="1" applyBorder="1"/>
    <xf numFmtId="43" fontId="0" fillId="3" borderId="33" xfId="1" applyNumberFormat="1" applyFont="1" applyFill="1" applyBorder="1"/>
    <xf numFmtId="165" fontId="0" fillId="10" borderId="31" xfId="1" applyNumberFormat="1" applyFont="1" applyFill="1" applyBorder="1"/>
    <xf numFmtId="43" fontId="0" fillId="10" borderId="33" xfId="1" applyNumberFormat="1" applyFont="1" applyFill="1" applyBorder="1"/>
    <xf numFmtId="165" fontId="0" fillId="12" borderId="31" xfId="1" applyNumberFormat="1" applyFont="1" applyFill="1" applyBorder="1"/>
    <xf numFmtId="43" fontId="0" fillId="12" borderId="33" xfId="1" applyNumberFormat="1" applyFont="1" applyFill="1" applyBorder="1"/>
    <xf numFmtId="165" fontId="14" fillId="18" borderId="0" xfId="9" applyNumberFormat="1" applyAlignment="1">
      <alignment horizontal="right"/>
    </xf>
    <xf numFmtId="168" fontId="0" fillId="0" borderId="0" xfId="1" applyNumberFormat="1" applyFont="1" applyBorder="1" applyAlignment="1">
      <alignment horizontal="right"/>
    </xf>
    <xf numFmtId="165" fontId="0" fillId="0" borderId="34" xfId="1" applyNumberFormat="1" applyFont="1" applyBorder="1" applyAlignment="1">
      <alignment horizontal="right"/>
    </xf>
    <xf numFmtId="4" fontId="0" fillId="0" borderId="0" xfId="1" applyNumberFormat="1" applyFont="1" applyAlignment="1">
      <alignment horizontal="right"/>
    </xf>
    <xf numFmtId="4" fontId="0" fillId="0" borderId="0" xfId="1" applyNumberFormat="1" applyFont="1" applyBorder="1" applyAlignment="1">
      <alignment horizontal="right"/>
    </xf>
    <xf numFmtId="4" fontId="0" fillId="0" borderId="34" xfId="1" applyNumberFormat="1" applyFont="1" applyBorder="1" applyAlignment="1">
      <alignment horizontal="right"/>
    </xf>
    <xf numFmtId="164" fontId="0" fillId="0" borderId="0" xfId="1" applyNumberFormat="1" applyFont="1" applyFill="1" applyAlignment="1">
      <alignment horizontal="right" wrapText="1"/>
    </xf>
    <xf numFmtId="164" fontId="0" fillId="0" borderId="0" xfId="1" applyNumberFormat="1" applyFont="1" applyFill="1" applyBorder="1" applyAlignment="1">
      <alignment horizontal="right" wrapText="1"/>
    </xf>
    <xf numFmtId="164" fontId="0" fillId="0" borderId="34" xfId="1" applyNumberFormat="1" applyFont="1" applyFill="1" applyBorder="1" applyAlignment="1">
      <alignment horizontal="right" wrapText="1"/>
    </xf>
    <xf numFmtId="3" fontId="0" fillId="0" borderId="0" xfId="0" applyNumberFormat="1" applyFont="1" applyFill="1" applyAlignment="1">
      <alignment horizontal="right" wrapText="1"/>
    </xf>
    <xf numFmtId="3" fontId="0" fillId="0" borderId="0" xfId="0" applyNumberFormat="1" applyFont="1" applyFill="1" applyBorder="1" applyAlignment="1">
      <alignment horizontal="right" wrapText="1"/>
    </xf>
    <xf numFmtId="3" fontId="0" fillId="0" borderId="34" xfId="0" applyNumberFormat="1" applyFont="1" applyFill="1" applyBorder="1" applyAlignment="1">
      <alignment horizontal="right" wrapText="1"/>
    </xf>
    <xf numFmtId="43" fontId="0" fillId="14" borderId="33" xfId="1" applyNumberFormat="1" applyFont="1" applyFill="1" applyBorder="1"/>
    <xf numFmtId="165" fontId="0" fillId="0" borderId="34" xfId="1" applyNumberFormat="1" applyFont="1" applyFill="1" applyBorder="1" applyAlignment="1">
      <alignment horizontal="right"/>
    </xf>
    <xf numFmtId="165" fontId="2" fillId="0" borderId="34" xfId="1" applyNumberFormat="1" applyFont="1" applyBorder="1" applyAlignment="1">
      <alignment horizontal="right"/>
    </xf>
    <xf numFmtId="2" fontId="0" fillId="20" borderId="0" xfId="0" applyNumberFormat="1" applyFill="1"/>
    <xf numFmtId="3" fontId="0" fillId="0" borderId="0" xfId="0" applyNumberFormat="1"/>
    <xf numFmtId="44" fontId="2" fillId="0" borderId="34" xfId="0" applyNumberFormat="1" applyFont="1" applyBorder="1" applyAlignment="1">
      <alignment horizontal="right" wrapText="1"/>
    </xf>
    <xf numFmtId="165" fontId="0" fillId="0" borderId="34" xfId="1" applyNumberFormat="1" applyFont="1" applyFill="1" applyBorder="1" applyAlignment="1">
      <alignment horizontal="right" wrapText="1"/>
    </xf>
    <xf numFmtId="165" fontId="12" fillId="16" borderId="0" xfId="7" applyNumberFormat="1" applyAlignment="1">
      <alignment horizontal="right" wrapText="1"/>
    </xf>
    <xf numFmtId="3" fontId="14" fillId="18" borderId="0" xfId="9" applyNumberFormat="1" applyAlignment="1">
      <alignment horizontal="right" wrapText="1"/>
    </xf>
    <xf numFmtId="165" fontId="0" fillId="0" borderId="0" xfId="0" applyNumberFormat="1" applyBorder="1"/>
    <xf numFmtId="3" fontId="2" fillId="0" borderId="34" xfId="0" applyNumberFormat="1" applyFont="1" applyBorder="1" applyAlignment="1">
      <alignment horizontal="right" wrapText="1"/>
    </xf>
    <xf numFmtId="165" fontId="4" fillId="0" borderId="0" xfId="1" applyNumberFormat="1" applyFont="1" applyBorder="1" applyAlignment="1">
      <alignment wrapText="1"/>
    </xf>
    <xf numFmtId="0" fontId="0" fillId="6" borderId="2" xfId="0" applyFill="1" applyBorder="1" applyAlignment="1">
      <alignment wrapText="1"/>
    </xf>
    <xf numFmtId="0" fontId="0" fillId="21" borderId="2" xfId="0" applyFill="1" applyBorder="1" applyAlignment="1">
      <alignment wrapText="1"/>
    </xf>
    <xf numFmtId="0" fontId="0" fillId="10" borderId="2" xfId="0" applyFill="1" applyBorder="1" applyAlignment="1">
      <alignment wrapText="1"/>
    </xf>
    <xf numFmtId="0" fontId="0" fillId="0" borderId="0" xfId="0"/>
    <xf numFmtId="2" fontId="0" fillId="8" borderId="5" xfId="0" applyNumberFormat="1" applyFill="1" applyBorder="1"/>
    <xf numFmtId="2" fontId="0" fillId="9" borderId="5" xfId="0" applyNumberFormat="1" applyFill="1" applyBorder="1"/>
    <xf numFmtId="0" fontId="4" fillId="0" borderId="34" xfId="0" applyFont="1" applyBorder="1" applyAlignment="1">
      <alignment wrapText="1"/>
    </xf>
    <xf numFmtId="0" fontId="0" fillId="0" borderId="34" xfId="0" applyFont="1" applyBorder="1" applyAlignment="1">
      <alignment wrapText="1"/>
    </xf>
    <xf numFmtId="0" fontId="0" fillId="7" borderId="34" xfId="0" applyFont="1" applyFill="1" applyBorder="1" applyAlignment="1">
      <alignment horizontal="right" wrapText="1"/>
    </xf>
    <xf numFmtId="1" fontId="0" fillId="0" borderId="34" xfId="0" applyNumberFormat="1" applyFont="1" applyFill="1" applyBorder="1" applyAlignment="1">
      <alignment horizontal="right" wrapText="1"/>
    </xf>
    <xf numFmtId="2" fontId="0" fillId="0" borderId="34" xfId="0" applyNumberFormat="1" applyFont="1" applyFill="1" applyBorder="1" applyAlignment="1">
      <alignment horizontal="right" wrapText="1"/>
    </xf>
    <xf numFmtId="165" fontId="14" fillId="18" borderId="0" xfId="9" applyNumberFormat="1" applyBorder="1" applyAlignment="1">
      <alignment horizontal="right"/>
    </xf>
    <xf numFmtId="1" fontId="14" fillId="18" borderId="0" xfId="9" applyNumberFormat="1" applyBorder="1" applyAlignment="1">
      <alignment horizontal="right" wrapText="1"/>
    </xf>
    <xf numFmtId="165" fontId="3" fillId="0" borderId="0" xfId="1" applyNumberFormat="1" applyFont="1" applyBorder="1" applyAlignment="1">
      <alignment wrapText="1"/>
    </xf>
    <xf numFmtId="165" fontId="0" fillId="13" borderId="36" xfId="1" applyNumberFormat="1" applyFont="1" applyFill="1" applyBorder="1"/>
    <xf numFmtId="165" fontId="0" fillId="13" borderId="35" xfId="1" applyNumberFormat="1" applyFont="1" applyFill="1" applyBorder="1"/>
    <xf numFmtId="43" fontId="0" fillId="13" borderId="37" xfId="1" applyNumberFormat="1" applyFont="1" applyFill="1" applyBorder="1"/>
    <xf numFmtId="165" fontId="0" fillId="4" borderId="38" xfId="1" applyNumberFormat="1" applyFont="1" applyFill="1" applyBorder="1"/>
    <xf numFmtId="165" fontId="0" fillId="4" borderId="35" xfId="1" applyNumberFormat="1" applyFont="1" applyFill="1" applyBorder="1"/>
    <xf numFmtId="43" fontId="0" fillId="4" borderId="37" xfId="1" applyNumberFormat="1" applyFont="1" applyFill="1" applyBorder="1"/>
    <xf numFmtId="165" fontId="0" fillId="3" borderId="38" xfId="1" applyNumberFormat="1" applyFont="1" applyFill="1" applyBorder="1"/>
    <xf numFmtId="165" fontId="0" fillId="3" borderId="35" xfId="1" applyNumberFormat="1" applyFont="1" applyFill="1" applyBorder="1"/>
    <xf numFmtId="43" fontId="0" fillId="3" borderId="37" xfId="1" applyNumberFormat="1" applyFont="1" applyFill="1" applyBorder="1"/>
    <xf numFmtId="165" fontId="0" fillId="10" borderId="38" xfId="1" applyNumberFormat="1" applyFont="1" applyFill="1" applyBorder="1"/>
    <xf numFmtId="165" fontId="0" fillId="10" borderId="8" xfId="1" applyNumberFormat="1" applyFont="1" applyFill="1" applyBorder="1"/>
    <xf numFmtId="43" fontId="0" fillId="10" borderId="39" xfId="1" applyNumberFormat="1" applyFont="1" applyFill="1" applyBorder="1"/>
    <xf numFmtId="165" fontId="0" fillId="12" borderId="40" xfId="1" applyNumberFormat="1" applyFont="1" applyFill="1" applyBorder="1"/>
    <xf numFmtId="165" fontId="0" fillId="12" borderId="35" xfId="1" applyNumberFormat="1" applyFont="1" applyFill="1" applyBorder="1"/>
    <xf numFmtId="43" fontId="0" fillId="12" borderId="39" xfId="1" applyNumberFormat="1" applyFont="1" applyFill="1" applyBorder="1"/>
    <xf numFmtId="165" fontId="0" fillId="13" borderId="41" xfId="1" applyNumberFormat="1" applyFont="1" applyFill="1" applyBorder="1"/>
    <xf numFmtId="43" fontId="0" fillId="13" borderId="11" xfId="1" applyNumberFormat="1" applyFont="1" applyFill="1" applyBorder="1"/>
    <xf numFmtId="165" fontId="0" fillId="4" borderId="9" xfId="1" applyNumberFormat="1" applyFont="1" applyFill="1" applyBorder="1"/>
    <xf numFmtId="43" fontId="0" fillId="4" borderId="11" xfId="1" applyNumberFormat="1" applyFont="1" applyFill="1" applyBorder="1"/>
    <xf numFmtId="165" fontId="0" fillId="3" borderId="9" xfId="1" applyNumberFormat="1" applyFont="1" applyFill="1" applyBorder="1"/>
    <xf numFmtId="43" fontId="0" fillId="3" borderId="11" xfId="1" applyNumberFormat="1" applyFont="1" applyFill="1" applyBorder="1"/>
    <xf numFmtId="165" fontId="0" fillId="10" borderId="9" xfId="1" applyNumberFormat="1" applyFont="1" applyFill="1" applyBorder="1"/>
    <xf numFmtId="165" fontId="0" fillId="10" borderId="5" xfId="1" applyNumberFormat="1" applyFont="1" applyFill="1" applyBorder="1"/>
    <xf numFmtId="165" fontId="0" fillId="13" borderId="30" xfId="1" applyNumberFormat="1" applyFont="1" applyFill="1" applyBorder="1"/>
    <xf numFmtId="165" fontId="0" fillId="4" borderId="30" xfId="1" applyNumberFormat="1" applyFont="1" applyFill="1" applyBorder="1"/>
    <xf numFmtId="165" fontId="0" fillId="3" borderId="30" xfId="1" applyNumberFormat="1" applyFont="1" applyFill="1" applyBorder="1"/>
    <xf numFmtId="43" fontId="0" fillId="10" borderId="42" xfId="1" applyNumberFormat="1" applyFont="1" applyFill="1" applyBorder="1"/>
    <xf numFmtId="165" fontId="0" fillId="12" borderId="43" xfId="1" applyNumberFormat="1" applyFont="1" applyFill="1" applyBorder="1"/>
    <xf numFmtId="165" fontId="0" fillId="12" borderId="30" xfId="1" applyNumberFormat="1" applyFont="1" applyFill="1" applyBorder="1"/>
    <xf numFmtId="43" fontId="0" fillId="12" borderId="42" xfId="1" applyNumberFormat="1" applyFont="1" applyFill="1" applyBorder="1"/>
    <xf numFmtId="0" fontId="0" fillId="0" borderId="34" xfId="0" applyBorder="1"/>
    <xf numFmtId="2" fontId="14" fillId="18" borderId="0" xfId="9" applyNumberFormat="1" applyBorder="1" applyAlignment="1">
      <alignment horizontal="right" wrapText="1"/>
    </xf>
    <xf numFmtId="0" fontId="4" fillId="0" borderId="34" xfId="0" applyFont="1" applyFill="1" applyBorder="1" applyAlignment="1">
      <alignment wrapText="1"/>
    </xf>
    <xf numFmtId="165" fontId="0" fillId="9" borderId="2" xfId="1" applyNumberFormat="1" applyFont="1" applyFill="1" applyBorder="1"/>
    <xf numFmtId="165" fontId="0" fillId="9" borderId="3" xfId="1" applyNumberFormat="1" applyFont="1" applyFill="1" applyBorder="1"/>
    <xf numFmtId="2" fontId="0" fillId="9" borderId="3" xfId="0" applyNumberFormat="1" applyFill="1" applyBorder="1"/>
    <xf numFmtId="165" fontId="0" fillId="8" borderId="2" xfId="1" applyNumberFormat="1" applyFont="1" applyFill="1" applyBorder="1"/>
    <xf numFmtId="2" fontId="0" fillId="22" borderId="2" xfId="0" applyNumberFormat="1" applyFill="1" applyBorder="1"/>
    <xf numFmtId="165" fontId="0" fillId="22" borderId="2" xfId="1" applyNumberFormat="1" applyFont="1" applyFill="1" applyBorder="1"/>
    <xf numFmtId="2" fontId="0" fillId="22" borderId="5" xfId="0" applyNumberFormat="1" applyFill="1" applyBorder="1"/>
    <xf numFmtId="2" fontId="0" fillId="23" borderId="2" xfId="0" applyNumberFormat="1" applyFill="1" applyBorder="1"/>
    <xf numFmtId="165" fontId="0" fillId="23" borderId="2" xfId="1" applyNumberFormat="1" applyFont="1" applyFill="1" applyBorder="1"/>
    <xf numFmtId="2" fontId="0" fillId="23" borderId="5" xfId="0" applyNumberFormat="1" applyFill="1" applyBorder="1"/>
    <xf numFmtId="2" fontId="0" fillId="12" borderId="2" xfId="0" applyNumberFormat="1" applyFill="1" applyBorder="1"/>
    <xf numFmtId="2" fontId="0" fillId="12" borderId="5" xfId="0" applyNumberFormat="1" applyFill="1" applyBorder="1"/>
    <xf numFmtId="2" fontId="0" fillId="24" borderId="2" xfId="0" applyNumberFormat="1" applyFill="1" applyBorder="1"/>
    <xf numFmtId="165" fontId="0" fillId="24" borderId="2" xfId="1" applyNumberFormat="1" applyFont="1" applyFill="1" applyBorder="1"/>
    <xf numFmtId="2" fontId="0" fillId="24" borderId="5" xfId="0" applyNumberFormat="1" applyFill="1" applyBorder="1"/>
    <xf numFmtId="0" fontId="0" fillId="9" borderId="8" xfId="0" applyFont="1" applyFill="1" applyBorder="1" applyAlignment="1">
      <alignment wrapText="1"/>
    </xf>
    <xf numFmtId="0" fontId="0" fillId="22" borderId="8" xfId="0" applyFont="1" applyFill="1" applyBorder="1" applyAlignment="1">
      <alignment wrapText="1"/>
    </xf>
    <xf numFmtId="0" fontId="0" fillId="22" borderId="8" xfId="0" applyFill="1" applyBorder="1" applyAlignment="1">
      <alignment wrapText="1"/>
    </xf>
    <xf numFmtId="0" fontId="0" fillId="8" borderId="8" xfId="0" applyFont="1" applyFill="1" applyBorder="1" applyAlignment="1">
      <alignment wrapText="1"/>
    </xf>
    <xf numFmtId="0" fontId="0" fillId="23" borderId="8" xfId="0" applyFont="1" applyFill="1" applyBorder="1" applyAlignment="1">
      <alignment wrapText="1"/>
    </xf>
    <xf numFmtId="0" fontId="0" fillId="23" borderId="8" xfId="0" applyFill="1" applyBorder="1" applyAlignment="1">
      <alignment wrapText="1"/>
    </xf>
    <xf numFmtId="0" fontId="0" fillId="12" borderId="8" xfId="0" applyFont="1" applyFill="1" applyBorder="1" applyAlignment="1">
      <alignment wrapText="1"/>
    </xf>
    <xf numFmtId="0" fontId="0" fillId="24" borderId="8" xfId="0" applyFont="1" applyFill="1" applyBorder="1" applyAlignment="1">
      <alignment wrapText="1"/>
    </xf>
    <xf numFmtId="0" fontId="0" fillId="24" borderId="8" xfId="0" applyFill="1" applyBorder="1" applyAlignment="1">
      <alignment wrapText="1"/>
    </xf>
    <xf numFmtId="2" fontId="0" fillId="9" borderId="9" xfId="0" applyNumberFormat="1" applyFill="1" applyBorder="1"/>
    <xf numFmtId="2" fontId="0" fillId="24" borderId="44" xfId="0" applyNumberFormat="1" applyFill="1" applyBorder="1"/>
    <xf numFmtId="2" fontId="0" fillId="24" borderId="45" xfId="0" applyNumberFormat="1" applyFill="1" applyBorder="1"/>
    <xf numFmtId="43" fontId="0" fillId="8" borderId="2" xfId="1" applyNumberFormat="1" applyFont="1" applyFill="1" applyBorder="1"/>
    <xf numFmtId="43" fontId="0" fillId="23" borderId="2" xfId="1" applyNumberFormat="1" applyFont="1" applyFill="1" applyBorder="1"/>
    <xf numFmtId="43" fontId="0" fillId="12" borderId="2" xfId="1" applyNumberFormat="1" applyFont="1" applyFill="1" applyBorder="1"/>
    <xf numFmtId="43" fontId="0" fillId="24" borderId="45" xfId="1" applyNumberFormat="1" applyFont="1" applyFill="1" applyBorder="1"/>
    <xf numFmtId="165" fontId="0" fillId="24" borderId="8" xfId="1" applyNumberFormat="1" applyFont="1" applyFill="1" applyBorder="1"/>
    <xf numFmtId="43" fontId="0" fillId="24" borderId="46" xfId="1" applyNumberFormat="1" applyFont="1" applyFill="1" applyBorder="1"/>
    <xf numFmtId="164" fontId="0" fillId="0" borderId="34" xfId="0" applyNumberFormat="1" applyFont="1" applyFill="1" applyBorder="1" applyAlignment="1">
      <alignment horizontal="right" wrapText="1"/>
    </xf>
    <xf numFmtId="1" fontId="2" fillId="0" borderId="34" xfId="0" applyNumberFormat="1" applyFont="1" applyFill="1" applyBorder="1" applyAlignment="1">
      <alignment horizontal="right" wrapText="1"/>
    </xf>
    <xf numFmtId="44" fontId="0" fillId="0" borderId="34" xfId="0" applyNumberFormat="1" applyFont="1" applyFill="1" applyBorder="1" applyAlignment="1">
      <alignment horizontal="right" wrapText="1"/>
    </xf>
    <xf numFmtId="44" fontId="0" fillId="0" borderId="34" xfId="0" applyNumberFormat="1" applyFont="1" applyBorder="1" applyAlignment="1">
      <alignment horizontal="right" wrapText="1"/>
    </xf>
    <xf numFmtId="164" fontId="0" fillId="0" borderId="34" xfId="5" applyNumberFormat="1" applyFont="1" applyBorder="1" applyAlignment="1">
      <alignment horizontal="right" wrapText="1"/>
    </xf>
    <xf numFmtId="0" fontId="0" fillId="0" borderId="34" xfId="0" applyNumberFormat="1" applyFont="1" applyBorder="1" applyAlignment="1">
      <alignment wrapText="1"/>
    </xf>
    <xf numFmtId="164" fontId="0" fillId="0" borderId="34" xfId="0" applyNumberFormat="1" applyFont="1" applyBorder="1" applyAlignment="1">
      <alignment horizontal="right" wrapText="1"/>
    </xf>
    <xf numFmtId="165" fontId="10" fillId="0" borderId="34" xfId="1" applyNumberFormat="1" applyFont="1" applyBorder="1"/>
    <xf numFmtId="165" fontId="0" fillId="24" borderId="34" xfId="1" applyNumberFormat="1" applyFont="1" applyFill="1" applyBorder="1"/>
    <xf numFmtId="43" fontId="0" fillId="24" borderId="34" xfId="1" applyNumberFormat="1" applyFont="1" applyFill="1" applyBorder="1"/>
    <xf numFmtId="165" fontId="0" fillId="9" borderId="31" xfId="1" applyNumberFormat="1" applyFont="1" applyFill="1" applyBorder="1"/>
    <xf numFmtId="165" fontId="0" fillId="9" borderId="4" xfId="1" applyNumberFormat="1" applyFont="1" applyFill="1" applyBorder="1"/>
    <xf numFmtId="2" fontId="0" fillId="9" borderId="4" xfId="0" applyNumberFormat="1" applyFill="1" applyBorder="1"/>
    <xf numFmtId="165" fontId="0" fillId="22" borderId="4" xfId="1" applyNumberFormat="1" applyFont="1" applyFill="1" applyBorder="1"/>
    <xf numFmtId="2" fontId="0" fillId="22" borderId="4" xfId="0" applyNumberFormat="1" applyFill="1" applyBorder="1"/>
    <xf numFmtId="165" fontId="0" fillId="8" borderId="4" xfId="1" applyNumberFormat="1" applyFont="1" applyFill="1" applyBorder="1"/>
    <xf numFmtId="43" fontId="0" fillId="8" borderId="4" xfId="1" applyNumberFormat="1" applyFont="1" applyFill="1" applyBorder="1"/>
    <xf numFmtId="165" fontId="0" fillId="23" borderId="4" xfId="1" applyNumberFormat="1" applyFont="1" applyFill="1" applyBorder="1"/>
    <xf numFmtId="43" fontId="0" fillId="23" borderId="4" xfId="1" applyNumberFormat="1" applyFont="1" applyFill="1" applyBorder="1"/>
    <xf numFmtId="43" fontId="0" fillId="12" borderId="4" xfId="1" applyNumberFormat="1" applyFont="1" applyFill="1" applyBorder="1"/>
    <xf numFmtId="165" fontId="0" fillId="24" borderId="4" xfId="1" applyNumberFormat="1" applyFont="1" applyFill="1" applyBorder="1"/>
    <xf numFmtId="43" fontId="0" fillId="24" borderId="47" xfId="1" applyNumberFormat="1" applyFont="1" applyFill="1" applyBorder="1"/>
    <xf numFmtId="165" fontId="0" fillId="0" borderId="0" xfId="1" applyNumberFormat="1" applyFont="1"/>
    <xf numFmtId="165" fontId="0" fillId="0" borderId="34" xfId="1" applyNumberFormat="1" applyFont="1" applyBorder="1"/>
    <xf numFmtId="165" fontId="0" fillId="24" borderId="47" xfId="1" applyNumberFormat="1" applyFont="1" applyFill="1" applyBorder="1"/>
    <xf numFmtId="165" fontId="2" fillId="0" borderId="0" xfId="1" applyNumberFormat="1" applyFont="1"/>
    <xf numFmtId="165" fontId="2" fillId="0" borderId="0" xfId="1" applyNumberFormat="1" applyFont="1" applyBorder="1"/>
    <xf numFmtId="165" fontId="2" fillId="0" borderId="34" xfId="1" applyNumberFormat="1" applyFont="1" applyBorder="1"/>
    <xf numFmtId="165" fontId="2" fillId="0" borderId="0" xfId="1" applyNumberFormat="1" applyFont="1" applyFill="1" applyBorder="1"/>
    <xf numFmtId="43" fontId="0" fillId="0" borderId="0" xfId="1" applyFont="1" applyBorder="1"/>
    <xf numFmtId="43" fontId="0" fillId="0" borderId="34" xfId="1" applyFont="1" applyBorder="1"/>
    <xf numFmtId="165" fontId="3" fillId="0" borderId="34" xfId="1" applyNumberFormat="1" applyFont="1" applyBorder="1" applyAlignment="1">
      <alignment wrapText="1"/>
    </xf>
    <xf numFmtId="165" fontId="10" fillId="0" borderId="0" xfId="1" applyNumberFormat="1" applyFont="1" applyFill="1" applyBorder="1"/>
    <xf numFmtId="165" fontId="10" fillId="0" borderId="34" xfId="1" applyNumberFormat="1" applyFont="1" applyFill="1" applyBorder="1"/>
    <xf numFmtId="165" fontId="13" fillId="17" borderId="31" xfId="8" applyNumberFormat="1" applyBorder="1"/>
    <xf numFmtId="165" fontId="13" fillId="17" borderId="4" xfId="8" applyNumberFormat="1" applyBorder="1"/>
    <xf numFmtId="2" fontId="13" fillId="17" borderId="4" xfId="8" applyNumberFormat="1" applyBorder="1"/>
    <xf numFmtId="0" fontId="13" fillId="17" borderId="4" xfId="8" applyNumberFormat="1" applyBorder="1"/>
    <xf numFmtId="43" fontId="13" fillId="17" borderId="4" xfId="8" applyNumberFormat="1" applyBorder="1"/>
    <xf numFmtId="43" fontId="13" fillId="17" borderId="47" xfId="8" applyNumberFormat="1" applyBorder="1"/>
    <xf numFmtId="0" fontId="0" fillId="0" borderId="8" xfId="0" applyFill="1" applyBorder="1" applyAlignment="1">
      <alignment wrapText="1"/>
    </xf>
    <xf numFmtId="2" fontId="0" fillId="0" borderId="0" xfId="0" applyNumberFormat="1" applyFill="1" applyBorder="1"/>
    <xf numFmtId="43" fontId="0" fillId="0" borderId="0" xfId="1" applyNumberFormat="1" applyFont="1" applyFill="1" applyBorder="1"/>
    <xf numFmtId="43" fontId="0" fillId="0" borderId="34" xfId="1" applyNumberFormat="1" applyFont="1" applyFill="1" applyBorder="1"/>
    <xf numFmtId="0" fontId="0" fillId="25" borderId="0" xfId="0" applyFill="1"/>
    <xf numFmtId="4" fontId="0" fillId="0" borderId="0" xfId="1" applyNumberFormat="1" applyFont="1"/>
    <xf numFmtId="4" fontId="0" fillId="0" borderId="0" xfId="1" applyNumberFormat="1" applyFont="1" applyBorder="1"/>
    <xf numFmtId="4" fontId="0" fillId="25" borderId="0" xfId="0" applyNumberFormat="1" applyFill="1"/>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Fill="1" applyAlignment="1">
      <alignment horizontal="left" vertical="top" wrapText="1"/>
    </xf>
    <xf numFmtId="0" fontId="0" fillId="13" borderId="0" xfId="0" applyFill="1" applyBorder="1" applyAlignment="1">
      <alignment horizontal="center"/>
    </xf>
    <xf numFmtId="0" fontId="0" fillId="13" borderId="7" xfId="0" applyFill="1" applyBorder="1" applyAlignment="1">
      <alignment horizontal="center"/>
    </xf>
    <xf numFmtId="0" fontId="0" fillId="4" borderId="6" xfId="0" applyFill="1" applyBorder="1" applyAlignment="1">
      <alignment horizontal="center"/>
    </xf>
    <xf numFmtId="0" fontId="0" fillId="4" borderId="0" xfId="0" applyFill="1" applyBorder="1" applyAlignment="1">
      <alignment horizontal="center"/>
    </xf>
    <xf numFmtId="0" fontId="0" fillId="4" borderId="7"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10" borderId="6" xfId="0" applyFill="1" applyBorder="1" applyAlignment="1">
      <alignment horizontal="center"/>
    </xf>
    <xf numFmtId="0" fontId="0" fillId="10" borderId="0" xfId="0" applyFill="1" applyBorder="1" applyAlignment="1">
      <alignment horizontal="center"/>
    </xf>
    <xf numFmtId="0" fontId="0" fillId="10" borderId="7" xfId="0" applyFill="1" applyBorder="1" applyAlignment="1">
      <alignment horizontal="center"/>
    </xf>
    <xf numFmtId="0" fontId="0" fillId="12" borderId="6" xfId="0" applyFill="1" applyBorder="1" applyAlignment="1">
      <alignment horizontal="center"/>
    </xf>
    <xf numFmtId="0" fontId="0" fillId="12" borderId="0" xfId="0" applyFill="1" applyBorder="1" applyAlignment="1">
      <alignment horizontal="center"/>
    </xf>
    <xf numFmtId="0" fontId="0" fillId="12" borderId="7" xfId="0" applyFill="1" applyBorder="1" applyAlignment="1">
      <alignment horizontal="center"/>
    </xf>
  </cellXfs>
  <cellStyles count="10">
    <cellStyle name="Bad" xfId="8" builtinId="27"/>
    <cellStyle name="Comma" xfId="1" builtinId="3"/>
    <cellStyle name="Currency" xfId="6" builtinId="4"/>
    <cellStyle name="Currency 2" xfId="3"/>
    <cellStyle name="Good" xfId="7" builtinId="26"/>
    <cellStyle name="Neutral" xfId="9" builtinId="28"/>
    <cellStyle name="Normal" xfId="0" builtinId="0"/>
    <cellStyle name="Normal 2" xfId="2"/>
    <cellStyle name="Percent" xfId="5" builtinId="5"/>
    <cellStyle name="Percent 2" xfId="4"/>
  </cellStyles>
  <dxfs count="52">
    <dxf>
      <fill>
        <patternFill patternType="solid">
          <bgColor theme="2"/>
        </patternFill>
      </fill>
    </dxf>
    <dxf>
      <fill>
        <patternFill patternType="solid">
          <bgColor theme="2"/>
        </patternFill>
      </fill>
    </dxf>
    <dxf>
      <fill>
        <patternFill patternType="solid">
          <bgColor theme="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5" tint="0.79998168889431442"/>
        </patternFill>
      </fill>
    </dxf>
    <dxf>
      <fill>
        <patternFill patternType="solid">
          <fgColor indexed="64"/>
          <bgColor theme="4"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4" tint="0.79998168889431442"/>
        </patternFill>
      </fill>
    </dxf>
    <dxf>
      <fill>
        <patternFill>
          <bgColor auto="1"/>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fill>
        <patternFill patternType="solid">
          <bgColor theme="4" tint="0.79998168889431442"/>
        </patternFill>
      </fill>
    </dxf>
    <dxf>
      <alignment wrapText="1" readingOrder="0"/>
    </dxf>
    <dxf>
      <alignment wrapText="1" readingOrder="0"/>
    </dxf>
    <dxf>
      <alignment wrapText="1" readingOrder="0"/>
    </dxf>
    <dxf>
      <numFmt numFmtId="2" formatCode="0.00"/>
    </dxf>
    <dxf>
      <numFmt numFmtId="4" formatCode="#,##0.00"/>
    </dxf>
    <dxf>
      <numFmt numFmtId="12" formatCode="&quot;$&quot;#,##0.00_);[Red]\(&quot;$&quot;#,##0.00\)"/>
    </dxf>
    <dxf>
      <numFmt numFmtId="12" formatCode="&quot;$&quot;#,##0.00_);[Red]\(&quot;$&quot;#,##0.00\)"/>
    </dxf>
    <dxf>
      <numFmt numFmtId="12" formatCode="&quot;$&quot;#,##0.00_);[Red]\(&quot;$&quot;#,##0.00\)"/>
    </dxf>
    <dxf>
      <numFmt numFmtId="35" formatCode="_(* #,##0.00_);_(* \(#,##0.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2" formatCode="0.00"/>
    </dxf>
    <dxf>
      <numFmt numFmtId="165" formatCode="_(* #,##0_);_(* \(#,##0\);_(* &quot;-&quot;??_);_(@_)"/>
    </dxf>
    <dxf>
      <numFmt numFmtId="35" formatCode="_(* #,##0.00_);_(* \(#,##0.00\);_(* &quot;-&quot;??_);_(@_)"/>
    </dxf>
    <dxf>
      <numFmt numFmtId="2" formatCode="0.00"/>
    </dxf>
    <dxf>
      <numFmt numFmtId="165" formatCode="_(* #,##0_);_(* \(#,##0\);_(* &quot;-&quot;??_);_(@_)"/>
    </dxf>
    <dxf>
      <numFmt numFmtId="165" formatCode="_(* #,##0_);_(* \(#,##0\);_(* &quot;-&quot;??_);_(@_)"/>
    </dxf>
    <dxf>
      <numFmt numFmtId="2" formatCode="0.00"/>
    </dxf>
    <dxf>
      <numFmt numFmtId="165" formatCode="_(* #,##0_);_(* \(#,##0\);_(* &quot;-&quot;??_);_(@_)"/>
    </dxf>
    <dxf>
      <numFmt numFmtId="165" formatCode="_(* #,##0_);_(* \(#,##0\);_(* &quot;-&quot;??_);_(@_)"/>
    </dxf>
    <dxf>
      <numFmt numFmtId="3" formatCode="#,##0"/>
    </dxf>
    <dxf>
      <numFmt numFmtId="13" formatCode="0%"/>
    </dxf>
    <dxf>
      <numFmt numFmtId="165" formatCode="_(* #,##0_);_(* \(#,##0\);_(* &quot;-&quot;??_);_(@_)"/>
    </dxf>
  </dxfs>
  <tableStyles count="1" defaultTableStyle="TableStyleMedium2" defaultPivotStyle="PivotStyleLight16">
    <tableStyle name="Slicer Style 1" pivot="0" table="0" count="0"/>
  </tableStyles>
  <colors>
    <mruColors>
      <color rgb="FFE8D43C"/>
      <color rgb="FF219A00"/>
      <color rgb="FF24A800"/>
      <color rgb="FF00B036"/>
      <color rgb="FFA40000"/>
      <color rgb="FFFF7979"/>
      <color rgb="FFE4E4E4"/>
      <color rgb="FFF2F2F2"/>
      <color rgb="FFFBFBFB"/>
      <color rgb="FFF3FCFF"/>
    </mruColors>
  </color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3.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Matrix.xlsx]Pivots!An Equivalent Barrel</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3"/>
          </a:solidFill>
          <a:ln>
            <a:noFill/>
          </a:ln>
          <a:effectLst/>
        </c:spPr>
        <c:marker>
          <c:symbol val="none"/>
        </c:marker>
      </c:pivotFmt>
      <c:pivotFmt>
        <c:idx val="6"/>
        <c:spPr>
          <a:solidFill>
            <a:schemeClr val="bg1">
              <a:lumMod val="65000"/>
            </a:schemeClr>
          </a:solidFill>
          <a:ln>
            <a:noFill/>
          </a:ln>
          <a:effectLst/>
        </c:spPr>
        <c:marker>
          <c:symbol val="none"/>
        </c:marker>
      </c:pivotFmt>
      <c:pivotFmt>
        <c:idx val="7"/>
        <c:spPr>
          <a:ln w="28575" cap="rnd">
            <a:solidFill>
              <a:schemeClr val="tx2">
                <a:lumMod val="75000"/>
              </a:schemeClr>
            </a:solidFill>
            <a:round/>
          </a:ln>
          <a:effectLst/>
        </c:spPr>
        <c:marker>
          <c:symbol val="none"/>
        </c:marker>
      </c:pivotFmt>
    </c:pivotFmts>
    <c:plotArea>
      <c:layout>
        <c:manualLayout>
          <c:layoutTarget val="inner"/>
          <c:xMode val="edge"/>
          <c:yMode val="edge"/>
          <c:x val="0.13213641263592052"/>
          <c:y val="0.12163299663299662"/>
          <c:w val="0.69637860892388448"/>
          <c:h val="0.56305310321058355"/>
        </c:manualLayout>
      </c:layout>
      <c:barChart>
        <c:barDir val="col"/>
        <c:grouping val="percentStacked"/>
        <c:varyColors val="0"/>
        <c:ser>
          <c:idx val="0"/>
          <c:order val="0"/>
          <c:tx>
            <c:strRef>
              <c:f>Pivots!$C$2</c:f>
              <c:strCache>
                <c:ptCount val="1"/>
                <c:pt idx="0">
                  <c:v>US Natural Gas Production</c:v>
                </c:pt>
              </c:strCache>
            </c:strRef>
          </c:tx>
          <c:spPr>
            <a:solidFill>
              <a:schemeClr val="accent2"/>
            </a:solidFill>
            <a:ln>
              <a:noFill/>
            </a:ln>
            <a:effectLst/>
          </c:spPr>
          <c:invertIfNegative val="0"/>
          <c:cat>
            <c:strRef>
              <c:f>Pivots!$B$3:$B$11</c:f>
              <c:strCache>
                <c:ptCount val="8"/>
                <c:pt idx="0">
                  <c:v>2009</c:v>
                </c:pt>
                <c:pt idx="1">
                  <c:v>2010</c:v>
                </c:pt>
                <c:pt idx="2">
                  <c:v>2011</c:v>
                </c:pt>
                <c:pt idx="3">
                  <c:v>2012</c:v>
                </c:pt>
                <c:pt idx="4">
                  <c:v>2013</c:v>
                </c:pt>
                <c:pt idx="5">
                  <c:v>2014</c:v>
                </c:pt>
                <c:pt idx="6">
                  <c:v>2015</c:v>
                </c:pt>
                <c:pt idx="7">
                  <c:v>2016</c:v>
                </c:pt>
              </c:strCache>
            </c:strRef>
          </c:cat>
          <c:val>
            <c:numRef>
              <c:f>Pivots!$C$3:$C$11</c:f>
              <c:numCache>
                <c:formatCode>_(* #,##0_);_(* \(#,##0\);_(* "-"??_);_(@_)</c:formatCode>
                <c:ptCount val="8"/>
                <c:pt idx="0">
                  <c:v>939.38800000000003</c:v>
                </c:pt>
                <c:pt idx="1">
                  <c:v>982.41816666666682</c:v>
                </c:pt>
                <c:pt idx="2">
                  <c:v>1039.2321666666667</c:v>
                </c:pt>
                <c:pt idx="3">
                  <c:v>1096.0836666666667</c:v>
                </c:pt>
                <c:pt idx="4">
                  <c:v>1109.0321666666666</c:v>
                </c:pt>
                <c:pt idx="5">
                  <c:v>1095.3683333333331</c:v>
                </c:pt>
                <c:pt idx="6">
                  <c:v>1091.0358333333334</c:v>
                </c:pt>
                <c:pt idx="7">
                  <c:v>1012.7768333333335</c:v>
                </c:pt>
              </c:numCache>
            </c:numRef>
          </c:val>
        </c:ser>
        <c:ser>
          <c:idx val="1"/>
          <c:order val="1"/>
          <c:tx>
            <c:strRef>
              <c:f>Pivots!$D$2</c:f>
              <c:strCache>
                <c:ptCount val="1"/>
                <c:pt idx="0">
                  <c:v>US Oil and Liquids Production</c:v>
                </c:pt>
              </c:strCache>
            </c:strRef>
          </c:tx>
          <c:spPr>
            <a:solidFill>
              <a:schemeClr val="accent3"/>
            </a:solidFill>
            <a:ln>
              <a:noFill/>
            </a:ln>
            <a:effectLst/>
          </c:spPr>
          <c:invertIfNegative val="0"/>
          <c:cat>
            <c:strRef>
              <c:f>Pivots!$B$3:$B$11</c:f>
              <c:strCache>
                <c:ptCount val="8"/>
                <c:pt idx="0">
                  <c:v>2009</c:v>
                </c:pt>
                <c:pt idx="1">
                  <c:v>2010</c:v>
                </c:pt>
                <c:pt idx="2">
                  <c:v>2011</c:v>
                </c:pt>
                <c:pt idx="3">
                  <c:v>2012</c:v>
                </c:pt>
                <c:pt idx="4">
                  <c:v>2013</c:v>
                </c:pt>
                <c:pt idx="5">
                  <c:v>2014</c:v>
                </c:pt>
                <c:pt idx="6">
                  <c:v>2015</c:v>
                </c:pt>
                <c:pt idx="7">
                  <c:v>2016</c:v>
                </c:pt>
              </c:strCache>
            </c:strRef>
          </c:cat>
          <c:val>
            <c:numRef>
              <c:f>Pivots!$D$3:$D$11</c:f>
              <c:numCache>
                <c:formatCode>_(* #,##0_);_(* \(#,##0\);_(* "-"??_);_(@_)</c:formatCode>
                <c:ptCount val="8"/>
                <c:pt idx="0">
                  <c:v>442.36500000000007</c:v>
                </c:pt>
                <c:pt idx="1">
                  <c:v>423.21500000000003</c:v>
                </c:pt>
                <c:pt idx="2">
                  <c:v>464.55200000000002</c:v>
                </c:pt>
                <c:pt idx="3">
                  <c:v>570.72340000000008</c:v>
                </c:pt>
                <c:pt idx="4">
                  <c:v>662.05799999999999</c:v>
                </c:pt>
                <c:pt idx="5">
                  <c:v>742.96799999999996</c:v>
                </c:pt>
                <c:pt idx="6">
                  <c:v>827.70899999999995</c:v>
                </c:pt>
                <c:pt idx="7">
                  <c:v>765.125</c:v>
                </c:pt>
              </c:numCache>
            </c:numRef>
          </c:val>
        </c:ser>
        <c:ser>
          <c:idx val="2"/>
          <c:order val="2"/>
          <c:tx>
            <c:strRef>
              <c:f>Pivots!$E$2</c:f>
              <c:strCache>
                <c:ptCount val="1"/>
                <c:pt idx="0">
                  <c:v>US NGL Production</c:v>
                </c:pt>
              </c:strCache>
            </c:strRef>
          </c:tx>
          <c:spPr>
            <a:solidFill>
              <a:schemeClr val="bg1">
                <a:lumMod val="65000"/>
              </a:schemeClr>
            </a:solidFill>
            <a:ln>
              <a:noFill/>
            </a:ln>
            <a:effectLst/>
          </c:spPr>
          <c:invertIfNegative val="0"/>
          <c:cat>
            <c:strRef>
              <c:f>Pivots!$B$3:$B$11</c:f>
              <c:strCache>
                <c:ptCount val="8"/>
                <c:pt idx="0">
                  <c:v>2009</c:v>
                </c:pt>
                <c:pt idx="1">
                  <c:v>2010</c:v>
                </c:pt>
                <c:pt idx="2">
                  <c:v>2011</c:v>
                </c:pt>
                <c:pt idx="3">
                  <c:v>2012</c:v>
                </c:pt>
                <c:pt idx="4">
                  <c:v>2013</c:v>
                </c:pt>
                <c:pt idx="5">
                  <c:v>2014</c:v>
                </c:pt>
                <c:pt idx="6">
                  <c:v>2015</c:v>
                </c:pt>
                <c:pt idx="7">
                  <c:v>2016</c:v>
                </c:pt>
              </c:strCache>
            </c:strRef>
          </c:cat>
          <c:val>
            <c:numRef>
              <c:f>Pivots!$E$3:$E$11</c:f>
              <c:numCache>
                <c:formatCode>_(* #,##0_);_(* \(#,##0\);_(* "-"??_);_(@_)</c:formatCode>
                <c:ptCount val="8"/>
                <c:pt idx="0">
                  <c:v>80.599999999999994</c:v>
                </c:pt>
                <c:pt idx="1">
                  <c:v>129.95699999999999</c:v>
                </c:pt>
                <c:pt idx="2">
                  <c:v>170.596</c:v>
                </c:pt>
                <c:pt idx="3">
                  <c:v>203.83660000000003</c:v>
                </c:pt>
                <c:pt idx="4">
                  <c:v>241.05400000000003</c:v>
                </c:pt>
                <c:pt idx="5">
                  <c:v>296.46799999999996</c:v>
                </c:pt>
                <c:pt idx="6">
                  <c:v>313.50700000000001</c:v>
                </c:pt>
                <c:pt idx="7">
                  <c:v>314.04899999999998</c:v>
                </c:pt>
              </c:numCache>
            </c:numRef>
          </c:val>
        </c:ser>
        <c:dLbls>
          <c:showLegendKey val="0"/>
          <c:showVal val="0"/>
          <c:showCatName val="0"/>
          <c:showSerName val="0"/>
          <c:showPercent val="0"/>
          <c:showBubbleSize val="0"/>
        </c:dLbls>
        <c:gapWidth val="65"/>
        <c:overlap val="100"/>
        <c:axId val="555218384"/>
        <c:axId val="555218944"/>
      </c:barChart>
      <c:lineChart>
        <c:grouping val="standard"/>
        <c:varyColors val="0"/>
        <c:ser>
          <c:idx val="3"/>
          <c:order val="3"/>
          <c:tx>
            <c:strRef>
              <c:f>Pivots!$F$2</c:f>
              <c:strCache>
                <c:ptCount val="1"/>
                <c:pt idx="0">
                  <c:v>US Total Production</c:v>
                </c:pt>
              </c:strCache>
            </c:strRef>
          </c:tx>
          <c:spPr>
            <a:ln w="28575" cap="rnd">
              <a:solidFill>
                <a:schemeClr val="tx2">
                  <a:lumMod val="75000"/>
                </a:schemeClr>
              </a:solidFill>
              <a:round/>
            </a:ln>
            <a:effectLst/>
          </c:spPr>
          <c:marker>
            <c:symbol val="none"/>
          </c:marker>
          <c:cat>
            <c:strRef>
              <c:f>Pivots!$B$3:$B$11</c:f>
              <c:strCache>
                <c:ptCount val="8"/>
                <c:pt idx="0">
                  <c:v>2009</c:v>
                </c:pt>
                <c:pt idx="1">
                  <c:v>2010</c:v>
                </c:pt>
                <c:pt idx="2">
                  <c:v>2011</c:v>
                </c:pt>
                <c:pt idx="3">
                  <c:v>2012</c:v>
                </c:pt>
                <c:pt idx="4">
                  <c:v>2013</c:v>
                </c:pt>
                <c:pt idx="5">
                  <c:v>2014</c:v>
                </c:pt>
                <c:pt idx="6">
                  <c:v>2015</c:v>
                </c:pt>
                <c:pt idx="7">
                  <c:v>2016</c:v>
                </c:pt>
              </c:strCache>
            </c:strRef>
          </c:cat>
          <c:val>
            <c:numRef>
              <c:f>Pivots!$F$3:$F$11</c:f>
              <c:numCache>
                <c:formatCode>_(* #,##0_);_(* \(#,##0\);_(* "-"??_);_(@_)</c:formatCode>
                <c:ptCount val="8"/>
                <c:pt idx="0">
                  <c:v>1462.3530000000001</c:v>
                </c:pt>
                <c:pt idx="1">
                  <c:v>1535.5901666666671</c:v>
                </c:pt>
                <c:pt idx="2">
                  <c:v>1674.3801666666666</c:v>
                </c:pt>
                <c:pt idx="3">
                  <c:v>1870.6436666666664</c:v>
                </c:pt>
                <c:pt idx="4">
                  <c:v>2012.1441666666669</c:v>
                </c:pt>
                <c:pt idx="5">
                  <c:v>2134.8043333333335</c:v>
                </c:pt>
                <c:pt idx="6">
                  <c:v>2232.2518333333337</c:v>
                </c:pt>
                <c:pt idx="7">
                  <c:v>2091.9508333333333</c:v>
                </c:pt>
              </c:numCache>
            </c:numRef>
          </c:val>
          <c:smooth val="0"/>
        </c:ser>
        <c:dLbls>
          <c:showLegendKey val="0"/>
          <c:showVal val="0"/>
          <c:showCatName val="0"/>
          <c:showSerName val="0"/>
          <c:showPercent val="0"/>
          <c:showBubbleSize val="0"/>
        </c:dLbls>
        <c:marker val="1"/>
        <c:smooth val="0"/>
        <c:axId val="555220064"/>
        <c:axId val="555219504"/>
      </c:lineChart>
      <c:catAx>
        <c:axId val="55521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5218944"/>
        <c:crosses val="autoZero"/>
        <c:auto val="1"/>
        <c:lblAlgn val="ctr"/>
        <c:lblOffset val="100"/>
        <c:noMultiLvlLbl val="0"/>
      </c:catAx>
      <c:valAx>
        <c:axId val="555218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5218384"/>
        <c:crosses val="autoZero"/>
        <c:crossBetween val="between"/>
      </c:valAx>
      <c:valAx>
        <c:axId val="555219504"/>
        <c:scaling>
          <c:orientation val="minMax"/>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5220064"/>
        <c:crosses val="max"/>
        <c:crossBetween val="between"/>
      </c:valAx>
      <c:catAx>
        <c:axId val="555220064"/>
        <c:scaling>
          <c:orientation val="minMax"/>
        </c:scaling>
        <c:delete val="1"/>
        <c:axPos val="b"/>
        <c:numFmt formatCode="General" sourceLinked="1"/>
        <c:majorTickMark val="out"/>
        <c:minorTickMark val="none"/>
        <c:tickLblPos val="nextTo"/>
        <c:crossAx val="555219504"/>
        <c:crosses val="autoZero"/>
        <c:auto val="1"/>
        <c:lblAlgn val="ctr"/>
        <c:lblOffset val="100"/>
        <c:noMultiLvlLbl val="0"/>
      </c:catAx>
      <c:spPr>
        <a:noFill/>
        <a:ln>
          <a:noFill/>
        </a:ln>
        <a:effectLst/>
      </c:spPr>
    </c:plotArea>
    <c:legend>
      <c:legendPos val="b"/>
      <c:layout>
        <c:manualLayout>
          <c:xMode val="edge"/>
          <c:yMode val="edge"/>
          <c:x val="9.9168853893263345E-4"/>
          <c:y val="0.85437478459131999"/>
          <c:w val="0.99900831146106739"/>
          <c:h val="0.1456252154086799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pivotSource>
    <c:name>[CEE Upstream Matrix.xlsx]Pivots!PivotTable21</c:name>
    <c:fmtId val="1"/>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s>
    <c:plotArea>
      <c:layout>
        <c:manualLayout>
          <c:layoutTarget val="inner"/>
          <c:xMode val="edge"/>
          <c:yMode val="edge"/>
          <c:x val="0.18830829740032495"/>
          <c:y val="0.12341914707470077"/>
          <c:w val="0.55671517622797151"/>
          <c:h val="0.56870774675892788"/>
        </c:manualLayout>
      </c:layout>
      <c:barChart>
        <c:barDir val="col"/>
        <c:grouping val="stacked"/>
        <c:varyColors val="0"/>
        <c:ser>
          <c:idx val="0"/>
          <c:order val="0"/>
          <c:tx>
            <c:strRef>
              <c:f>Pivots!$C$122</c:f>
              <c:strCache>
                <c:ptCount val="1"/>
                <c:pt idx="0">
                  <c:v>Suspended Exploration Costs</c:v>
                </c:pt>
              </c:strCache>
            </c:strRef>
          </c:tx>
          <c:spPr>
            <a:solidFill>
              <a:schemeClr val="accent1">
                <a:shade val="76000"/>
              </a:schemeClr>
            </a:solidFill>
            <a:ln>
              <a:noFill/>
            </a:ln>
            <a:effectLst/>
          </c:spPr>
          <c:invertIfNegative val="0"/>
          <c:cat>
            <c:strRef>
              <c:f>Pivots!$B$123:$B$131</c:f>
              <c:strCache>
                <c:ptCount val="8"/>
                <c:pt idx="0">
                  <c:v>2009</c:v>
                </c:pt>
                <c:pt idx="1">
                  <c:v>2010</c:v>
                </c:pt>
                <c:pt idx="2">
                  <c:v>2011</c:v>
                </c:pt>
                <c:pt idx="3">
                  <c:v>2012</c:v>
                </c:pt>
                <c:pt idx="4">
                  <c:v>2013</c:v>
                </c:pt>
                <c:pt idx="5">
                  <c:v>2014</c:v>
                </c:pt>
                <c:pt idx="6">
                  <c:v>2015</c:v>
                </c:pt>
                <c:pt idx="7">
                  <c:v>2016</c:v>
                </c:pt>
              </c:strCache>
            </c:strRef>
          </c:cat>
          <c:val>
            <c:numRef>
              <c:f>Pivots!$C$123:$C$131</c:f>
              <c:numCache>
                <c:formatCode>_(* #,##0_);_(* \(#,##0\);_(* "-"??_);_(@_)</c:formatCode>
                <c:ptCount val="8"/>
                <c:pt idx="0">
                  <c:v>3836.2060000000001</c:v>
                </c:pt>
                <c:pt idx="1">
                  <c:v>4240.7119999999995</c:v>
                </c:pt>
                <c:pt idx="2">
                  <c:v>4715.3060000000005</c:v>
                </c:pt>
                <c:pt idx="3">
                  <c:v>5061.0769999999993</c:v>
                </c:pt>
                <c:pt idx="4">
                  <c:v>5065.3559999999998</c:v>
                </c:pt>
                <c:pt idx="5">
                  <c:v>4614.884</c:v>
                </c:pt>
                <c:pt idx="6">
                  <c:v>4051.7109999999998</c:v>
                </c:pt>
                <c:pt idx="7">
                  <c:v>2808.4120000000003</c:v>
                </c:pt>
              </c:numCache>
            </c:numRef>
          </c:val>
        </c:ser>
        <c:ser>
          <c:idx val="1"/>
          <c:order val="1"/>
          <c:tx>
            <c:strRef>
              <c:f>Pivots!$D$122</c:f>
              <c:strCache>
                <c:ptCount val="1"/>
                <c:pt idx="0">
                  <c:v>Costs Excluded From FC Amort. Pool</c:v>
                </c:pt>
              </c:strCache>
            </c:strRef>
          </c:tx>
          <c:spPr>
            <a:solidFill>
              <a:schemeClr val="accent1">
                <a:tint val="77000"/>
              </a:schemeClr>
            </a:solidFill>
            <a:ln>
              <a:noFill/>
            </a:ln>
            <a:effectLst/>
          </c:spPr>
          <c:invertIfNegative val="0"/>
          <c:cat>
            <c:strRef>
              <c:f>Pivots!$B$123:$B$131</c:f>
              <c:strCache>
                <c:ptCount val="8"/>
                <c:pt idx="0">
                  <c:v>2009</c:v>
                </c:pt>
                <c:pt idx="1">
                  <c:v>2010</c:v>
                </c:pt>
                <c:pt idx="2">
                  <c:v>2011</c:v>
                </c:pt>
                <c:pt idx="3">
                  <c:v>2012</c:v>
                </c:pt>
                <c:pt idx="4">
                  <c:v>2013</c:v>
                </c:pt>
                <c:pt idx="5">
                  <c:v>2014</c:v>
                </c:pt>
                <c:pt idx="6">
                  <c:v>2015</c:v>
                </c:pt>
                <c:pt idx="7">
                  <c:v>2016</c:v>
                </c:pt>
              </c:strCache>
            </c:strRef>
          </c:cat>
          <c:val>
            <c:numRef>
              <c:f>Pivots!$D$123:$D$131</c:f>
              <c:numCache>
                <c:formatCode>_(* #,##0_);_(* \(#,##0\);_(* "-"??_);_(@_)</c:formatCode>
                <c:ptCount val="8"/>
                <c:pt idx="0">
                  <c:v>16659</c:v>
                </c:pt>
                <c:pt idx="1">
                  <c:v>25351</c:v>
                </c:pt>
                <c:pt idx="2">
                  <c:v>27598</c:v>
                </c:pt>
                <c:pt idx="3">
                  <c:v>28419.887999999999</c:v>
                </c:pt>
                <c:pt idx="4">
                  <c:v>24593.469000000001</c:v>
                </c:pt>
                <c:pt idx="5">
                  <c:v>29855</c:v>
                </c:pt>
                <c:pt idx="6">
                  <c:v>21002</c:v>
                </c:pt>
                <c:pt idx="7">
                  <c:v>17226</c:v>
                </c:pt>
              </c:numCache>
            </c:numRef>
          </c:val>
        </c:ser>
        <c:dLbls>
          <c:showLegendKey val="0"/>
          <c:showVal val="0"/>
          <c:showCatName val="0"/>
          <c:showSerName val="0"/>
          <c:showPercent val="0"/>
          <c:showBubbleSize val="0"/>
        </c:dLbls>
        <c:gapWidth val="219"/>
        <c:overlap val="100"/>
        <c:axId val="391656784"/>
        <c:axId val="391657344"/>
      </c:barChart>
      <c:catAx>
        <c:axId val="39165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52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657344"/>
        <c:crosses val="autoZero"/>
        <c:auto val="1"/>
        <c:lblAlgn val="ctr"/>
        <c:lblOffset val="100"/>
        <c:noMultiLvlLbl val="0"/>
      </c:catAx>
      <c:valAx>
        <c:axId val="391657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Millions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656784"/>
        <c:crosses val="autoZero"/>
        <c:crossBetween val="between"/>
      </c:valAx>
      <c:spPr>
        <a:noFill/>
        <a:ln>
          <a:noFill/>
        </a:ln>
        <a:effectLst/>
      </c:spPr>
    </c:plotArea>
    <c:legend>
      <c:legendPos val="b"/>
      <c:layout>
        <c:manualLayout>
          <c:xMode val="edge"/>
          <c:yMode val="edge"/>
          <c:x val="7.001856646866661E-2"/>
          <c:y val="0.86449505046387176"/>
          <c:w val="0.84232110731581289"/>
          <c:h val="0.131012546304052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[CEE Upstream Matrix.xlsx]Pivots!PivotTable1</c:name>
    <c:fmtId val="9"/>
  </c:pivotSource>
  <c:chart>
    <c:autoTitleDeleted val="1"/>
    <c:pivotFmts>
      <c:pivotFmt>
        <c:idx val="0"/>
        <c:spPr>
          <a:solidFill>
            <a:schemeClr val="accent1"/>
          </a:solidFill>
          <a:ln>
            <a:noFill/>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lumMod val="40000"/>
              <a:lumOff val="60000"/>
            </a:schemeClr>
          </a:solidFill>
          <a:ln>
            <a:solidFill>
              <a:schemeClr val="accent1">
                <a:lumMod val="40000"/>
                <a:lumOff val="60000"/>
              </a:schemeClr>
            </a:solidFill>
          </a:ln>
          <a:effectLst/>
        </c:spPr>
        <c:marker>
          <c:symbol val="none"/>
        </c:marker>
      </c:pivotFmt>
      <c:pivotFmt>
        <c:idx val="5"/>
        <c:spPr>
          <a:solidFill>
            <a:schemeClr val="accent1"/>
          </a:solidFill>
          <a:ln w="28575" cap="rnd">
            <a:solidFill>
              <a:srgbClr val="FF0000"/>
            </a:solidFill>
            <a:round/>
          </a:ln>
          <a:effectLst/>
        </c:spPr>
        <c:marker>
          <c:symbol val="none"/>
        </c:marker>
        <c:dLbl>
          <c:idx val="0"/>
          <c:numFmt formatCode="0%"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solidFill>
              <a:schemeClr val="accent1">
                <a:lumMod val="40000"/>
                <a:lumOff val="60000"/>
              </a:schemeClr>
            </a:solidFill>
          </a:ln>
          <a:effectLst/>
        </c:spPr>
        <c:marker>
          <c:symbol val="none"/>
        </c:marker>
      </c:pivotFmt>
      <c:pivotFmt>
        <c:idx val="7"/>
        <c:spPr>
          <a:solidFill>
            <a:schemeClr val="accent1"/>
          </a:solidFill>
          <a:ln w="28575" cap="rnd">
            <a:solidFill>
              <a:srgbClr val="FF0000"/>
            </a:solidFill>
            <a:round/>
          </a:ln>
          <a:effectLst/>
        </c:spPr>
        <c:marker>
          <c:symbol val="none"/>
        </c:marker>
        <c:dLbl>
          <c:idx val="0"/>
          <c:numFmt formatCode="0%"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ln w="28575" cap="rnd">
            <a:solidFill>
              <a:srgbClr val="C0504D"/>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rgbClr val="1F497D">
              <a:lumMod val="20000"/>
              <a:lumOff val="80000"/>
            </a:srgbClr>
          </a:solidFill>
          <a:ln>
            <a:noFill/>
          </a:ln>
          <a:effectLst/>
        </c:spPr>
        <c:marker>
          <c:symbol val="none"/>
        </c:marker>
      </c:pivotFmt>
    </c:pivotFmts>
    <c:plotArea>
      <c:layout>
        <c:manualLayout>
          <c:layoutTarget val="inner"/>
          <c:xMode val="edge"/>
          <c:yMode val="edge"/>
          <c:x val="0.17203240219972507"/>
          <c:y val="0.16718364749860815"/>
          <c:w val="0.71441753374578176"/>
          <c:h val="0.6239239507940294"/>
        </c:manualLayout>
      </c:layout>
      <c:barChart>
        <c:barDir val="col"/>
        <c:grouping val="clustered"/>
        <c:varyColors val="0"/>
        <c:ser>
          <c:idx val="0"/>
          <c:order val="0"/>
          <c:tx>
            <c:strRef>
              <c:f>Pivots!$C$134</c:f>
              <c:strCache>
                <c:ptCount val="1"/>
                <c:pt idx="0">
                  <c:v>Total Production</c:v>
                </c:pt>
              </c:strCache>
            </c:strRef>
          </c:tx>
          <c:spPr>
            <a:solidFill>
              <a:srgbClr val="1F497D">
                <a:lumMod val="20000"/>
                <a:lumOff val="80000"/>
              </a:srgbClr>
            </a:solidFill>
            <a:ln>
              <a:noFill/>
            </a:ln>
            <a:effectLst/>
          </c:spPr>
          <c:invertIfNegative val="0"/>
          <c:cat>
            <c:strRef>
              <c:f>Pivots!$B$135:$B$143</c:f>
              <c:strCache>
                <c:ptCount val="8"/>
                <c:pt idx="0">
                  <c:v>2009</c:v>
                </c:pt>
                <c:pt idx="1">
                  <c:v>2010</c:v>
                </c:pt>
                <c:pt idx="2">
                  <c:v>2011</c:v>
                </c:pt>
                <c:pt idx="3">
                  <c:v>2012</c:v>
                </c:pt>
                <c:pt idx="4">
                  <c:v>2013</c:v>
                </c:pt>
                <c:pt idx="5">
                  <c:v>2014</c:v>
                </c:pt>
                <c:pt idx="6">
                  <c:v>2015</c:v>
                </c:pt>
                <c:pt idx="7">
                  <c:v>2016</c:v>
                </c:pt>
              </c:strCache>
            </c:strRef>
          </c:cat>
          <c:val>
            <c:numRef>
              <c:f>Pivots!$C$135:$C$143</c:f>
              <c:numCache>
                <c:formatCode>#,##0</c:formatCode>
                <c:ptCount val="8"/>
                <c:pt idx="0">
                  <c:v>1462.3530000000001</c:v>
                </c:pt>
                <c:pt idx="1">
                  <c:v>1535.5901666666671</c:v>
                </c:pt>
                <c:pt idx="2">
                  <c:v>1674.3801666666666</c:v>
                </c:pt>
                <c:pt idx="3">
                  <c:v>1870.6436666666664</c:v>
                </c:pt>
                <c:pt idx="4">
                  <c:v>2012.1441666666669</c:v>
                </c:pt>
                <c:pt idx="5">
                  <c:v>2134.8043333333335</c:v>
                </c:pt>
                <c:pt idx="6">
                  <c:v>2232.2518333333337</c:v>
                </c:pt>
                <c:pt idx="7">
                  <c:v>2091.9508333333333</c:v>
                </c:pt>
              </c:numCache>
            </c:numRef>
          </c:val>
        </c:ser>
        <c:dLbls>
          <c:showLegendKey val="0"/>
          <c:showVal val="0"/>
          <c:showCatName val="0"/>
          <c:showSerName val="0"/>
          <c:showPercent val="0"/>
          <c:showBubbleSize val="0"/>
        </c:dLbls>
        <c:gapWidth val="150"/>
        <c:axId val="391829856"/>
        <c:axId val="391660144"/>
      </c:barChart>
      <c:lineChart>
        <c:grouping val="standard"/>
        <c:varyColors val="0"/>
        <c:ser>
          <c:idx val="1"/>
          <c:order val="1"/>
          <c:tx>
            <c:strRef>
              <c:f>Pivots!$D$134</c:f>
              <c:strCache>
                <c:ptCount val="1"/>
                <c:pt idx="0">
                  <c:v>Gas Production vs. Total</c:v>
                </c:pt>
              </c:strCache>
            </c:strRef>
          </c:tx>
          <c:spPr>
            <a:ln w="28575" cap="rnd">
              <a:solidFill>
                <a:srgbClr val="C0504D"/>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Pivots!$B$135:$B$143</c:f>
              <c:strCache>
                <c:ptCount val="8"/>
                <c:pt idx="0">
                  <c:v>2009</c:v>
                </c:pt>
                <c:pt idx="1">
                  <c:v>2010</c:v>
                </c:pt>
                <c:pt idx="2">
                  <c:v>2011</c:v>
                </c:pt>
                <c:pt idx="3">
                  <c:v>2012</c:v>
                </c:pt>
                <c:pt idx="4">
                  <c:v>2013</c:v>
                </c:pt>
                <c:pt idx="5">
                  <c:v>2014</c:v>
                </c:pt>
                <c:pt idx="6">
                  <c:v>2015</c:v>
                </c:pt>
                <c:pt idx="7">
                  <c:v>2016</c:v>
                </c:pt>
              </c:strCache>
            </c:strRef>
          </c:cat>
          <c:val>
            <c:numRef>
              <c:f>Pivots!$D$135:$D$143</c:f>
              <c:numCache>
                <c:formatCode>0%</c:formatCode>
                <c:ptCount val="8"/>
                <c:pt idx="0">
                  <c:v>0.64238114873768515</c:v>
                </c:pt>
                <c:pt idx="1">
                  <c:v>0.63976586200680063</c:v>
                </c:pt>
                <c:pt idx="2">
                  <c:v>0.62066679201985286</c:v>
                </c:pt>
                <c:pt idx="3">
                  <c:v>0.5859393139366823</c:v>
                </c:pt>
                <c:pt idx="4">
                  <c:v>0.55116933718715466</c:v>
                </c:pt>
                <c:pt idx="5">
                  <c:v>0.51310010769136838</c:v>
                </c:pt>
                <c:pt idx="6">
                  <c:v>0.48876019140910854</c:v>
                </c:pt>
                <c:pt idx="7">
                  <c:v>0.48413032333057543</c:v>
                </c:pt>
              </c:numCache>
            </c:numRef>
          </c:val>
          <c:smooth val="0"/>
        </c:ser>
        <c:dLbls>
          <c:showLegendKey val="0"/>
          <c:showVal val="0"/>
          <c:showCatName val="0"/>
          <c:showSerName val="0"/>
          <c:showPercent val="0"/>
          <c:showBubbleSize val="0"/>
        </c:dLbls>
        <c:marker val="1"/>
        <c:smooth val="0"/>
        <c:axId val="391830976"/>
        <c:axId val="391830416"/>
      </c:lineChart>
      <c:valAx>
        <c:axId val="391660144"/>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829856"/>
        <c:crosses val="autoZero"/>
        <c:crossBetween val="between"/>
      </c:valAx>
      <c:catAx>
        <c:axId val="391829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660144"/>
        <c:crosses val="autoZero"/>
        <c:auto val="1"/>
        <c:lblAlgn val="ctr"/>
        <c:lblOffset val="100"/>
        <c:noMultiLvlLbl val="0"/>
      </c:catAx>
      <c:valAx>
        <c:axId val="39183041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830976"/>
        <c:crosses val="max"/>
        <c:crossBetween val="between"/>
      </c:valAx>
      <c:catAx>
        <c:axId val="391830976"/>
        <c:scaling>
          <c:orientation val="minMax"/>
        </c:scaling>
        <c:delete val="1"/>
        <c:axPos val="b"/>
        <c:numFmt formatCode="General" sourceLinked="1"/>
        <c:majorTickMark val="out"/>
        <c:minorTickMark val="none"/>
        <c:tickLblPos val="nextTo"/>
        <c:crossAx val="391830416"/>
        <c:crosses val="autoZero"/>
        <c:auto val="1"/>
        <c:lblAlgn val="ctr"/>
        <c:lblOffset val="100"/>
        <c:noMultiLvlLbl val="0"/>
      </c:catAx>
      <c:spPr>
        <a:noFill/>
        <a:ln>
          <a:noFill/>
        </a:ln>
        <a:effectLst/>
      </c:spPr>
    </c:plotArea>
    <c:legend>
      <c:legendPos val="b"/>
      <c:layout>
        <c:manualLayout>
          <c:xMode val="edge"/>
          <c:yMode val="edge"/>
          <c:x val="5.6879412188445479E-2"/>
          <c:y val="0.92282006415864681"/>
          <c:w val="0.9"/>
          <c:h val="7.717993584135315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Matrix.xlsx]Pivots!PivotTable18</c:name>
    <c:fmtId val="2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bg1">
              <a:lumMod val="65000"/>
            </a:schemeClr>
          </a:solidFill>
          <a:ln>
            <a:noFill/>
          </a:ln>
          <a:effectLst/>
        </c:spPr>
        <c:marker>
          <c:symbol val="none"/>
        </c:marker>
      </c:pivotFmt>
      <c:pivotFmt>
        <c:idx val="6"/>
        <c:spPr>
          <a:ln w="28575" cap="rnd">
            <a:solidFill>
              <a:schemeClr val="tx2"/>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8853815148106487"/>
          <c:y val="0.1285562316074127"/>
          <c:w val="0.6848831396075491"/>
          <c:h val="0.7176350115326493"/>
        </c:manualLayout>
      </c:layout>
      <c:barChart>
        <c:barDir val="col"/>
        <c:grouping val="stacked"/>
        <c:varyColors val="0"/>
        <c:ser>
          <c:idx val="0"/>
          <c:order val="0"/>
          <c:tx>
            <c:strRef>
              <c:f>Pivots!$C$86</c:f>
              <c:strCache>
                <c:ptCount val="1"/>
                <c:pt idx="0">
                  <c:v>US Natural Gas Additions</c:v>
                </c:pt>
              </c:strCache>
            </c:strRef>
          </c:tx>
          <c:spPr>
            <a:solidFill>
              <a:schemeClr val="accent2"/>
            </a:solidFill>
            <a:ln>
              <a:noFill/>
            </a:ln>
            <a:effectLst/>
          </c:spPr>
          <c:invertIfNegative val="0"/>
          <c:cat>
            <c:strRef>
              <c:f>Pivots!$B$87:$B$95</c:f>
              <c:strCache>
                <c:ptCount val="8"/>
                <c:pt idx="0">
                  <c:v>2009</c:v>
                </c:pt>
                <c:pt idx="1">
                  <c:v>2010</c:v>
                </c:pt>
                <c:pt idx="2">
                  <c:v>2011</c:v>
                </c:pt>
                <c:pt idx="3">
                  <c:v>2012</c:v>
                </c:pt>
                <c:pt idx="4">
                  <c:v>2013</c:v>
                </c:pt>
                <c:pt idx="5">
                  <c:v>2014</c:v>
                </c:pt>
                <c:pt idx="6">
                  <c:v>2015</c:v>
                </c:pt>
                <c:pt idx="7">
                  <c:v>2016</c:v>
                </c:pt>
              </c:strCache>
            </c:strRef>
          </c:cat>
          <c:val>
            <c:numRef>
              <c:f>Pivots!$C$87:$C$95</c:f>
              <c:numCache>
                <c:formatCode>_(* #,##0_);_(* \(#,##0\);_(* "-"??_);_(@_)</c:formatCode>
                <c:ptCount val="8"/>
                <c:pt idx="0">
                  <c:v>1764.2271666666668</c:v>
                </c:pt>
                <c:pt idx="1">
                  <c:v>2876.8961666666669</c:v>
                </c:pt>
                <c:pt idx="2">
                  <c:v>2187.3556666666664</c:v>
                </c:pt>
                <c:pt idx="3">
                  <c:v>-379.01616666666672</c:v>
                </c:pt>
                <c:pt idx="4">
                  <c:v>2579.5891666666666</c:v>
                </c:pt>
                <c:pt idx="5">
                  <c:v>2542.7363333333333</c:v>
                </c:pt>
                <c:pt idx="6">
                  <c:v>-1503.1949999999999</c:v>
                </c:pt>
                <c:pt idx="7">
                  <c:v>1521.0866666666668</c:v>
                </c:pt>
              </c:numCache>
            </c:numRef>
          </c:val>
        </c:ser>
        <c:ser>
          <c:idx val="1"/>
          <c:order val="1"/>
          <c:tx>
            <c:strRef>
              <c:f>Pivots!$D$86</c:f>
              <c:strCache>
                <c:ptCount val="1"/>
                <c:pt idx="0">
                  <c:v>US Oil, Condensate Additions</c:v>
                </c:pt>
              </c:strCache>
            </c:strRef>
          </c:tx>
          <c:spPr>
            <a:solidFill>
              <a:schemeClr val="accent3"/>
            </a:solidFill>
            <a:ln>
              <a:noFill/>
            </a:ln>
            <a:effectLst/>
          </c:spPr>
          <c:invertIfNegative val="0"/>
          <c:cat>
            <c:strRef>
              <c:f>Pivots!$B$87:$B$95</c:f>
              <c:strCache>
                <c:ptCount val="8"/>
                <c:pt idx="0">
                  <c:v>2009</c:v>
                </c:pt>
                <c:pt idx="1">
                  <c:v>2010</c:v>
                </c:pt>
                <c:pt idx="2">
                  <c:v>2011</c:v>
                </c:pt>
                <c:pt idx="3">
                  <c:v>2012</c:v>
                </c:pt>
                <c:pt idx="4">
                  <c:v>2013</c:v>
                </c:pt>
                <c:pt idx="5">
                  <c:v>2014</c:v>
                </c:pt>
                <c:pt idx="6">
                  <c:v>2015</c:v>
                </c:pt>
                <c:pt idx="7">
                  <c:v>2016</c:v>
                </c:pt>
              </c:strCache>
            </c:strRef>
          </c:cat>
          <c:val>
            <c:numRef>
              <c:f>Pivots!$D$87:$D$95</c:f>
              <c:numCache>
                <c:formatCode>_(* #,##0_);_(* \(#,##0\);_(* "-"??_);_(@_)</c:formatCode>
                <c:ptCount val="8"/>
                <c:pt idx="0">
                  <c:v>699.44600000000003</c:v>
                </c:pt>
                <c:pt idx="1">
                  <c:v>1247.3129999999999</c:v>
                </c:pt>
                <c:pt idx="2">
                  <c:v>1365.204</c:v>
                </c:pt>
                <c:pt idx="3">
                  <c:v>1886.4390000000001</c:v>
                </c:pt>
                <c:pt idx="4">
                  <c:v>1646.9950000000001</c:v>
                </c:pt>
                <c:pt idx="5">
                  <c:v>2632.6449999999995</c:v>
                </c:pt>
                <c:pt idx="6">
                  <c:v>-609.76400000000001</c:v>
                </c:pt>
                <c:pt idx="7">
                  <c:v>922.28</c:v>
                </c:pt>
              </c:numCache>
            </c:numRef>
          </c:val>
        </c:ser>
        <c:ser>
          <c:idx val="2"/>
          <c:order val="2"/>
          <c:tx>
            <c:strRef>
              <c:f>Pivots!$E$86</c:f>
              <c:strCache>
                <c:ptCount val="1"/>
                <c:pt idx="0">
                  <c:v>US NGL Additions</c:v>
                </c:pt>
              </c:strCache>
            </c:strRef>
          </c:tx>
          <c:spPr>
            <a:solidFill>
              <a:schemeClr val="bg1">
                <a:lumMod val="65000"/>
              </a:schemeClr>
            </a:solidFill>
            <a:ln>
              <a:noFill/>
            </a:ln>
            <a:effectLst/>
          </c:spPr>
          <c:invertIfNegative val="0"/>
          <c:cat>
            <c:strRef>
              <c:f>Pivots!$B$87:$B$95</c:f>
              <c:strCache>
                <c:ptCount val="8"/>
                <c:pt idx="0">
                  <c:v>2009</c:v>
                </c:pt>
                <c:pt idx="1">
                  <c:v>2010</c:v>
                </c:pt>
                <c:pt idx="2">
                  <c:v>2011</c:v>
                </c:pt>
                <c:pt idx="3">
                  <c:v>2012</c:v>
                </c:pt>
                <c:pt idx="4">
                  <c:v>2013</c:v>
                </c:pt>
                <c:pt idx="5">
                  <c:v>2014</c:v>
                </c:pt>
                <c:pt idx="6">
                  <c:v>2015</c:v>
                </c:pt>
                <c:pt idx="7">
                  <c:v>2016</c:v>
                </c:pt>
              </c:strCache>
            </c:strRef>
          </c:cat>
          <c:val>
            <c:numRef>
              <c:f>Pivots!$E$87:$E$95</c:f>
              <c:numCache>
                <c:formatCode>_(* #,##0_);_(* \(#,##0\);_(* "-"??_);_(@_)</c:formatCode>
                <c:ptCount val="8"/>
                <c:pt idx="0">
                  <c:v>284.08199999999999</c:v>
                </c:pt>
                <c:pt idx="1">
                  <c:v>533.65</c:v>
                </c:pt>
                <c:pt idx="2">
                  <c:v>625.26099999999997</c:v>
                </c:pt>
                <c:pt idx="3">
                  <c:v>629.10700000000008</c:v>
                </c:pt>
                <c:pt idx="4">
                  <c:v>1050.8419999999999</c:v>
                </c:pt>
                <c:pt idx="5">
                  <c:v>1122.876</c:v>
                </c:pt>
                <c:pt idx="6">
                  <c:v>-503.88599999999997</c:v>
                </c:pt>
                <c:pt idx="7">
                  <c:v>678.58799999999997</c:v>
                </c:pt>
              </c:numCache>
            </c:numRef>
          </c:val>
        </c:ser>
        <c:dLbls>
          <c:showLegendKey val="0"/>
          <c:showVal val="0"/>
          <c:showCatName val="0"/>
          <c:showSerName val="0"/>
          <c:showPercent val="0"/>
          <c:showBubbleSize val="0"/>
        </c:dLbls>
        <c:gapWidth val="71"/>
        <c:overlap val="100"/>
        <c:axId val="391917920"/>
        <c:axId val="391918480"/>
      </c:barChart>
      <c:lineChart>
        <c:grouping val="standard"/>
        <c:varyColors val="0"/>
        <c:ser>
          <c:idx val="3"/>
          <c:order val="3"/>
          <c:tx>
            <c:strRef>
              <c:f>Pivots!$F$86</c:f>
              <c:strCache>
                <c:ptCount val="1"/>
                <c:pt idx="0">
                  <c:v>US Capex</c:v>
                </c:pt>
              </c:strCache>
            </c:strRef>
          </c:tx>
          <c:spPr>
            <a:ln w="28575" cap="rnd">
              <a:solidFill>
                <a:schemeClr val="tx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Pivots!$B$87:$B$95</c:f>
              <c:strCache>
                <c:ptCount val="8"/>
                <c:pt idx="0">
                  <c:v>2009</c:v>
                </c:pt>
                <c:pt idx="1">
                  <c:v>2010</c:v>
                </c:pt>
                <c:pt idx="2">
                  <c:v>2011</c:v>
                </c:pt>
                <c:pt idx="3">
                  <c:v>2012</c:v>
                </c:pt>
                <c:pt idx="4">
                  <c:v>2013</c:v>
                </c:pt>
                <c:pt idx="5">
                  <c:v>2014</c:v>
                </c:pt>
                <c:pt idx="6">
                  <c:v>2015</c:v>
                </c:pt>
                <c:pt idx="7">
                  <c:v>2016</c:v>
                </c:pt>
              </c:strCache>
            </c:strRef>
          </c:cat>
          <c:val>
            <c:numRef>
              <c:f>Pivots!$F$87:$F$95</c:f>
              <c:numCache>
                <c:formatCode>_(* #,##0_);_(* \(#,##0\);_(* "-"??_);_(@_)</c:formatCode>
                <c:ptCount val="8"/>
                <c:pt idx="0">
                  <c:v>31190.92</c:v>
                </c:pt>
                <c:pt idx="1">
                  <c:v>59950.536999999997</c:v>
                </c:pt>
                <c:pt idx="2">
                  <c:v>66834.398000000001</c:v>
                </c:pt>
                <c:pt idx="3">
                  <c:v>74389.413</c:v>
                </c:pt>
                <c:pt idx="4">
                  <c:v>58444.125</c:v>
                </c:pt>
                <c:pt idx="5">
                  <c:v>93453.125</c:v>
                </c:pt>
                <c:pt idx="6">
                  <c:v>45740.097000000002</c:v>
                </c:pt>
                <c:pt idx="7">
                  <c:v>35357.357000000004</c:v>
                </c:pt>
              </c:numCache>
            </c:numRef>
          </c:val>
          <c:smooth val="0"/>
        </c:ser>
        <c:dLbls>
          <c:showLegendKey val="0"/>
          <c:showVal val="0"/>
          <c:showCatName val="0"/>
          <c:showSerName val="0"/>
          <c:showPercent val="0"/>
          <c:showBubbleSize val="0"/>
        </c:dLbls>
        <c:marker val="1"/>
        <c:smooth val="0"/>
        <c:axId val="391982448"/>
        <c:axId val="391919040"/>
      </c:lineChart>
      <c:catAx>
        <c:axId val="3919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918480"/>
        <c:crosses val="autoZero"/>
        <c:auto val="1"/>
        <c:lblAlgn val="ctr"/>
        <c:lblOffset val="100"/>
        <c:noMultiLvlLbl val="0"/>
      </c:catAx>
      <c:valAx>
        <c:axId val="39191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917920"/>
        <c:crosses val="autoZero"/>
        <c:crossBetween val="between"/>
      </c:valAx>
      <c:valAx>
        <c:axId val="391919040"/>
        <c:scaling>
          <c:orientation val="minMax"/>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1982448"/>
        <c:crosses val="max"/>
        <c:crossBetween val="between"/>
        <c:dispUnits>
          <c:builtInUnit val="thousands"/>
          <c:dispUnitsLbl>
            <c:layout>
              <c:manualLayout>
                <c:xMode val="edge"/>
                <c:yMode val="edge"/>
                <c:x val="0.94808266154230725"/>
                <c:y val="0.38949899255017367"/>
              </c:manualLayout>
            </c:layout>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$Billions</a:t>
                  </a:r>
                </a:p>
              </c:rich>
            </c:tx>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dispUnitsLbl>
        </c:dispUnits>
      </c:valAx>
      <c:catAx>
        <c:axId val="391982448"/>
        <c:scaling>
          <c:orientation val="minMax"/>
        </c:scaling>
        <c:delete val="1"/>
        <c:axPos val="b"/>
        <c:numFmt formatCode="General" sourceLinked="1"/>
        <c:majorTickMark val="out"/>
        <c:minorTickMark val="none"/>
        <c:tickLblPos val="nextTo"/>
        <c:crossAx val="391919040"/>
        <c:crosses val="autoZero"/>
        <c:auto val="1"/>
        <c:lblAlgn val="ctr"/>
        <c:lblOffset val="100"/>
        <c:noMultiLvlLbl val="0"/>
      </c:catAx>
      <c:spPr>
        <a:noFill/>
        <a:ln>
          <a:noFill/>
        </a:ln>
        <a:effectLst/>
      </c:spPr>
    </c:plotArea>
    <c:legend>
      <c:legendPos val="b"/>
      <c:layout>
        <c:manualLayout>
          <c:xMode val="edge"/>
          <c:yMode val="edge"/>
          <c:x val="0"/>
          <c:y val="0.85616201383917923"/>
          <c:w val="1"/>
          <c:h val="0.143837986160820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Matrix.xlsx]Pivots!PivotTable2</c:name>
    <c:fmtId val="1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3"/>
          </a:solidFill>
          <a:ln>
            <a:noFill/>
          </a:ln>
          <a:effectLst/>
        </c:spPr>
        <c:marker>
          <c:symbol val="none"/>
        </c:marker>
      </c:pivotFmt>
      <c:pivotFmt>
        <c:idx val="4"/>
        <c:spPr>
          <a:solidFill>
            <a:schemeClr val="bg1">
              <a:lumMod val="65000"/>
            </a:schemeClr>
          </a:solidFill>
          <a:ln>
            <a:noFill/>
          </a:ln>
          <a:effectLst/>
        </c:spPr>
        <c:marker>
          <c:symbol val="none"/>
        </c:marker>
      </c:pivotFmt>
      <c:pivotFmt>
        <c:idx val="5"/>
        <c:spPr>
          <a:solidFill>
            <a:schemeClr val="accent2"/>
          </a:solidFill>
          <a:ln>
            <a:noFill/>
          </a:ln>
          <a:effectLst/>
        </c:spPr>
        <c:marker>
          <c:symbol val="none"/>
        </c:marker>
      </c:pivotFmt>
    </c:pivotFmts>
    <c:plotArea>
      <c:layout>
        <c:manualLayout>
          <c:layoutTarget val="inner"/>
          <c:xMode val="edge"/>
          <c:yMode val="edge"/>
          <c:x val="0.17082981814773154"/>
          <c:y val="0.10751246056364167"/>
          <c:w val="0.62431863985751779"/>
          <c:h val="0.69240833532172119"/>
        </c:manualLayout>
      </c:layout>
      <c:barChart>
        <c:barDir val="col"/>
        <c:grouping val="stacked"/>
        <c:varyColors val="0"/>
        <c:ser>
          <c:idx val="0"/>
          <c:order val="0"/>
          <c:tx>
            <c:strRef>
              <c:f>Pivots!$C$146</c:f>
              <c:strCache>
                <c:ptCount val="1"/>
                <c:pt idx="0">
                  <c:v>Gas PUDs</c:v>
                </c:pt>
              </c:strCache>
            </c:strRef>
          </c:tx>
          <c:spPr>
            <a:solidFill>
              <a:schemeClr val="accent2"/>
            </a:solidFill>
            <a:ln>
              <a:noFill/>
            </a:ln>
            <a:effectLst/>
          </c:spPr>
          <c:invertIfNegative val="0"/>
          <c:cat>
            <c:strRef>
              <c:f>Pivots!$B$147:$B$155</c:f>
              <c:strCache>
                <c:ptCount val="8"/>
                <c:pt idx="0">
                  <c:v>2009</c:v>
                </c:pt>
                <c:pt idx="1">
                  <c:v>2010</c:v>
                </c:pt>
                <c:pt idx="2">
                  <c:v>2011</c:v>
                </c:pt>
                <c:pt idx="3">
                  <c:v>2012</c:v>
                </c:pt>
                <c:pt idx="4">
                  <c:v>2013</c:v>
                </c:pt>
                <c:pt idx="5">
                  <c:v>2014</c:v>
                </c:pt>
                <c:pt idx="6">
                  <c:v>2015</c:v>
                </c:pt>
                <c:pt idx="7">
                  <c:v>2016</c:v>
                </c:pt>
              </c:strCache>
            </c:strRef>
          </c:cat>
          <c:val>
            <c:numRef>
              <c:f>Pivots!$C$147:$C$155</c:f>
              <c:numCache>
                <c:formatCode>_(* #,##0_);_(* \(#,##0\);_(* "-"??_);_(@_)</c:formatCode>
                <c:ptCount val="8"/>
                <c:pt idx="0">
                  <c:v>3760.6376666666674</c:v>
                </c:pt>
                <c:pt idx="1">
                  <c:v>4653.7556666666669</c:v>
                </c:pt>
                <c:pt idx="2">
                  <c:v>4574.8641666666663</c:v>
                </c:pt>
                <c:pt idx="3">
                  <c:v>3280.7346666666667</c:v>
                </c:pt>
                <c:pt idx="4">
                  <c:v>3582.5671666666672</c:v>
                </c:pt>
                <c:pt idx="5">
                  <c:v>3885.6916666666662</c:v>
                </c:pt>
                <c:pt idx="6">
                  <c:v>2366.8796666666667</c:v>
                </c:pt>
                <c:pt idx="7">
                  <c:v>2511.2845000000002</c:v>
                </c:pt>
              </c:numCache>
            </c:numRef>
          </c:val>
        </c:ser>
        <c:ser>
          <c:idx val="1"/>
          <c:order val="1"/>
          <c:tx>
            <c:strRef>
              <c:f>Pivots!$D$146</c:f>
              <c:strCache>
                <c:ptCount val="1"/>
                <c:pt idx="0">
                  <c:v>Oil PUDs</c:v>
                </c:pt>
              </c:strCache>
            </c:strRef>
          </c:tx>
          <c:spPr>
            <a:solidFill>
              <a:schemeClr val="accent3"/>
            </a:solidFill>
            <a:ln>
              <a:noFill/>
            </a:ln>
            <a:effectLst/>
          </c:spPr>
          <c:invertIfNegative val="0"/>
          <c:cat>
            <c:strRef>
              <c:f>Pivots!$B$147:$B$155</c:f>
              <c:strCache>
                <c:ptCount val="8"/>
                <c:pt idx="0">
                  <c:v>2009</c:v>
                </c:pt>
                <c:pt idx="1">
                  <c:v>2010</c:v>
                </c:pt>
                <c:pt idx="2">
                  <c:v>2011</c:v>
                </c:pt>
                <c:pt idx="3">
                  <c:v>2012</c:v>
                </c:pt>
                <c:pt idx="4">
                  <c:v>2013</c:v>
                </c:pt>
                <c:pt idx="5">
                  <c:v>2014</c:v>
                </c:pt>
                <c:pt idx="6">
                  <c:v>2015</c:v>
                </c:pt>
                <c:pt idx="7">
                  <c:v>2016</c:v>
                </c:pt>
              </c:strCache>
            </c:strRef>
          </c:cat>
          <c:val>
            <c:numRef>
              <c:f>Pivots!$D$147:$D$155</c:f>
              <c:numCache>
                <c:formatCode>_(* #,##0_);_(* \(#,##0\);_(* "-"??_);_(@_)</c:formatCode>
                <c:ptCount val="8"/>
                <c:pt idx="0">
                  <c:v>1505.527</c:v>
                </c:pt>
                <c:pt idx="1">
                  <c:v>1988.84</c:v>
                </c:pt>
                <c:pt idx="2">
                  <c:v>2278.402</c:v>
                </c:pt>
                <c:pt idx="3">
                  <c:v>2941.7940000000003</c:v>
                </c:pt>
                <c:pt idx="4">
                  <c:v>3135.7920000000004</c:v>
                </c:pt>
                <c:pt idx="5">
                  <c:v>3893.991</c:v>
                </c:pt>
                <c:pt idx="6">
                  <c:v>2764.44</c:v>
                </c:pt>
                <c:pt idx="7">
                  <c:v>2842.252</c:v>
                </c:pt>
              </c:numCache>
            </c:numRef>
          </c:val>
        </c:ser>
        <c:ser>
          <c:idx val="2"/>
          <c:order val="2"/>
          <c:tx>
            <c:strRef>
              <c:f>Pivots!$E$146</c:f>
              <c:strCache>
                <c:ptCount val="1"/>
                <c:pt idx="0">
                  <c:v>NGL PUDs</c:v>
                </c:pt>
              </c:strCache>
            </c:strRef>
          </c:tx>
          <c:spPr>
            <a:solidFill>
              <a:schemeClr val="bg1">
                <a:lumMod val="65000"/>
              </a:schemeClr>
            </a:solidFill>
            <a:ln>
              <a:noFill/>
            </a:ln>
            <a:effectLst/>
          </c:spPr>
          <c:invertIfNegative val="0"/>
          <c:cat>
            <c:strRef>
              <c:f>Pivots!$B$147:$B$155</c:f>
              <c:strCache>
                <c:ptCount val="8"/>
                <c:pt idx="0">
                  <c:v>2009</c:v>
                </c:pt>
                <c:pt idx="1">
                  <c:v>2010</c:v>
                </c:pt>
                <c:pt idx="2">
                  <c:v>2011</c:v>
                </c:pt>
                <c:pt idx="3">
                  <c:v>2012</c:v>
                </c:pt>
                <c:pt idx="4">
                  <c:v>2013</c:v>
                </c:pt>
                <c:pt idx="5">
                  <c:v>2014</c:v>
                </c:pt>
                <c:pt idx="6">
                  <c:v>2015</c:v>
                </c:pt>
                <c:pt idx="7">
                  <c:v>2016</c:v>
                </c:pt>
              </c:strCache>
            </c:strRef>
          </c:cat>
          <c:val>
            <c:numRef>
              <c:f>Pivots!$E$147:$E$155</c:f>
              <c:numCache>
                <c:formatCode>_(* #,##0_);_(* \(#,##0\);_(* "-"??_);_(@_)</c:formatCode>
                <c:ptCount val="8"/>
                <c:pt idx="0">
                  <c:v>344.20100000000002</c:v>
                </c:pt>
                <c:pt idx="1">
                  <c:v>493.745</c:v>
                </c:pt>
                <c:pt idx="2">
                  <c:v>669.51599999999996</c:v>
                </c:pt>
                <c:pt idx="3">
                  <c:v>976.36699999999996</c:v>
                </c:pt>
                <c:pt idx="4">
                  <c:v>1069.3789999999999</c:v>
                </c:pt>
                <c:pt idx="5">
                  <c:v>1329.4880000000001</c:v>
                </c:pt>
                <c:pt idx="6">
                  <c:v>847.505</c:v>
                </c:pt>
                <c:pt idx="7">
                  <c:v>1011.2850000000001</c:v>
                </c:pt>
              </c:numCache>
            </c:numRef>
          </c:val>
        </c:ser>
        <c:dLbls>
          <c:showLegendKey val="0"/>
          <c:showVal val="0"/>
          <c:showCatName val="0"/>
          <c:showSerName val="0"/>
          <c:showPercent val="0"/>
          <c:showBubbleSize val="0"/>
        </c:dLbls>
        <c:gapWidth val="219"/>
        <c:overlap val="100"/>
        <c:axId val="392324480"/>
        <c:axId val="392325040"/>
      </c:barChart>
      <c:catAx>
        <c:axId val="39232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325040"/>
        <c:crosses val="autoZero"/>
        <c:auto val="1"/>
        <c:lblAlgn val="ctr"/>
        <c:lblOffset val="100"/>
        <c:noMultiLvlLbl val="0"/>
      </c:catAx>
      <c:valAx>
        <c:axId val="3923250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324480"/>
        <c:crosses val="autoZero"/>
        <c:crossBetween val="between"/>
      </c:valAx>
      <c:spPr>
        <a:noFill/>
        <a:ln>
          <a:noFill/>
        </a:ln>
        <a:effectLst/>
      </c:spPr>
    </c:plotArea>
    <c:legend>
      <c:legendPos val="r"/>
      <c:layout>
        <c:manualLayout>
          <c:xMode val="edge"/>
          <c:yMode val="edge"/>
          <c:x val="0.80506909292588424"/>
          <c:y val="0.355309326864445"/>
          <c:w val="0.19493090707411573"/>
          <c:h val="0.2893810148731408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Matrix.xlsx]Pivots!PivotTable3</c:name>
    <c:fmtId val="9"/>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3"/>
          </a:solidFill>
          <a:ln>
            <a:noFill/>
          </a:ln>
          <a:effectLst/>
        </c:spPr>
        <c:marker>
          <c:symbol val="none"/>
        </c:marker>
      </c:pivotFmt>
      <c:pivotFmt>
        <c:idx val="6"/>
        <c:spPr>
          <a:solidFill>
            <a:schemeClr val="bg1">
              <a:lumMod val="65000"/>
            </a:schemeClr>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2"/>
          </a:solidFill>
          <a:ln>
            <a:noFill/>
          </a:ln>
          <a:effectLst/>
        </c:spPr>
        <c:marker>
          <c:symbol val="none"/>
        </c:marker>
      </c:pivotFmt>
    </c:pivotFmts>
    <c:plotArea>
      <c:layout>
        <c:manualLayout>
          <c:layoutTarget val="inner"/>
          <c:xMode val="edge"/>
          <c:yMode val="edge"/>
          <c:x val="0.18277168478940131"/>
          <c:y val="0.1285562316074127"/>
          <c:w val="0.78994656917885275"/>
          <c:h val="0.59899619555131378"/>
        </c:manualLayout>
      </c:layout>
      <c:barChart>
        <c:barDir val="col"/>
        <c:grouping val="clustered"/>
        <c:varyColors val="0"/>
        <c:ser>
          <c:idx val="0"/>
          <c:order val="0"/>
          <c:tx>
            <c:strRef>
              <c:f>Pivots!$C$158</c:f>
              <c:strCache>
                <c:ptCount val="1"/>
                <c:pt idx="0">
                  <c:v>US Gas Production</c:v>
                </c:pt>
              </c:strCache>
            </c:strRef>
          </c:tx>
          <c:spPr>
            <a:solidFill>
              <a:schemeClr val="accent2"/>
            </a:solidFill>
            <a:ln>
              <a:noFill/>
            </a:ln>
            <a:effectLst/>
          </c:spPr>
          <c:invertIfNegative val="0"/>
          <c:cat>
            <c:strRef>
              <c:f>Pivots!$B$159:$B$167</c:f>
              <c:strCache>
                <c:ptCount val="8"/>
                <c:pt idx="0">
                  <c:v>2009</c:v>
                </c:pt>
                <c:pt idx="1">
                  <c:v>2010</c:v>
                </c:pt>
                <c:pt idx="2">
                  <c:v>2011</c:v>
                </c:pt>
                <c:pt idx="3">
                  <c:v>2012</c:v>
                </c:pt>
                <c:pt idx="4">
                  <c:v>2013</c:v>
                </c:pt>
                <c:pt idx="5">
                  <c:v>2014</c:v>
                </c:pt>
                <c:pt idx="6">
                  <c:v>2015</c:v>
                </c:pt>
                <c:pt idx="7">
                  <c:v>2016</c:v>
                </c:pt>
              </c:strCache>
            </c:strRef>
          </c:cat>
          <c:val>
            <c:numRef>
              <c:f>Pivots!$C$159:$C$167</c:f>
              <c:numCache>
                <c:formatCode>_(* #,##0_);_(* \(#,##0\);_(* "-"??_);_(@_)</c:formatCode>
                <c:ptCount val="8"/>
                <c:pt idx="0">
                  <c:v>939.38800000000003</c:v>
                </c:pt>
                <c:pt idx="1">
                  <c:v>982.41816666666682</c:v>
                </c:pt>
                <c:pt idx="2">
                  <c:v>1039.2321666666667</c:v>
                </c:pt>
                <c:pt idx="3">
                  <c:v>1096.0836666666667</c:v>
                </c:pt>
                <c:pt idx="4">
                  <c:v>1109.0321666666666</c:v>
                </c:pt>
                <c:pt idx="5">
                  <c:v>1095.3683333333331</c:v>
                </c:pt>
                <c:pt idx="6">
                  <c:v>1091.0358333333334</c:v>
                </c:pt>
                <c:pt idx="7">
                  <c:v>1012.7768333333335</c:v>
                </c:pt>
              </c:numCache>
            </c:numRef>
          </c:val>
        </c:ser>
        <c:ser>
          <c:idx val="1"/>
          <c:order val="1"/>
          <c:tx>
            <c:strRef>
              <c:f>Pivots!$D$158</c:f>
              <c:strCache>
                <c:ptCount val="1"/>
                <c:pt idx="0">
                  <c:v>US Oil and Liquids Production</c:v>
                </c:pt>
              </c:strCache>
            </c:strRef>
          </c:tx>
          <c:spPr>
            <a:solidFill>
              <a:schemeClr val="accent3"/>
            </a:solidFill>
            <a:ln>
              <a:noFill/>
            </a:ln>
            <a:effectLst/>
          </c:spPr>
          <c:invertIfNegative val="0"/>
          <c:cat>
            <c:strRef>
              <c:f>Pivots!$B$159:$B$167</c:f>
              <c:strCache>
                <c:ptCount val="8"/>
                <c:pt idx="0">
                  <c:v>2009</c:v>
                </c:pt>
                <c:pt idx="1">
                  <c:v>2010</c:v>
                </c:pt>
                <c:pt idx="2">
                  <c:v>2011</c:v>
                </c:pt>
                <c:pt idx="3">
                  <c:v>2012</c:v>
                </c:pt>
                <c:pt idx="4">
                  <c:v>2013</c:v>
                </c:pt>
                <c:pt idx="5">
                  <c:v>2014</c:v>
                </c:pt>
                <c:pt idx="6">
                  <c:v>2015</c:v>
                </c:pt>
                <c:pt idx="7">
                  <c:v>2016</c:v>
                </c:pt>
              </c:strCache>
            </c:strRef>
          </c:cat>
          <c:val>
            <c:numRef>
              <c:f>Pivots!$D$159:$D$167</c:f>
              <c:numCache>
                <c:formatCode>_(* #,##0_);_(* \(#,##0\);_(* "-"??_);_(@_)</c:formatCode>
                <c:ptCount val="8"/>
                <c:pt idx="0">
                  <c:v>442.36500000000007</c:v>
                </c:pt>
                <c:pt idx="1">
                  <c:v>423.21500000000003</c:v>
                </c:pt>
                <c:pt idx="2">
                  <c:v>464.55200000000002</c:v>
                </c:pt>
                <c:pt idx="3">
                  <c:v>570.72340000000008</c:v>
                </c:pt>
                <c:pt idx="4">
                  <c:v>662.05799999999999</c:v>
                </c:pt>
                <c:pt idx="5">
                  <c:v>742.96799999999996</c:v>
                </c:pt>
                <c:pt idx="6">
                  <c:v>827.70899999999995</c:v>
                </c:pt>
                <c:pt idx="7">
                  <c:v>765.125</c:v>
                </c:pt>
              </c:numCache>
            </c:numRef>
          </c:val>
        </c:ser>
        <c:ser>
          <c:idx val="2"/>
          <c:order val="2"/>
          <c:tx>
            <c:strRef>
              <c:f>Pivots!$E$158</c:f>
              <c:strCache>
                <c:ptCount val="1"/>
                <c:pt idx="0">
                  <c:v>US NGL Production</c:v>
                </c:pt>
              </c:strCache>
            </c:strRef>
          </c:tx>
          <c:spPr>
            <a:solidFill>
              <a:schemeClr val="bg1">
                <a:lumMod val="65000"/>
              </a:schemeClr>
            </a:solidFill>
            <a:ln>
              <a:noFill/>
            </a:ln>
            <a:effectLst/>
          </c:spPr>
          <c:invertIfNegative val="0"/>
          <c:cat>
            <c:strRef>
              <c:f>Pivots!$B$159:$B$167</c:f>
              <c:strCache>
                <c:ptCount val="8"/>
                <c:pt idx="0">
                  <c:v>2009</c:v>
                </c:pt>
                <c:pt idx="1">
                  <c:v>2010</c:v>
                </c:pt>
                <c:pt idx="2">
                  <c:v>2011</c:v>
                </c:pt>
                <c:pt idx="3">
                  <c:v>2012</c:v>
                </c:pt>
                <c:pt idx="4">
                  <c:v>2013</c:v>
                </c:pt>
                <c:pt idx="5">
                  <c:v>2014</c:v>
                </c:pt>
                <c:pt idx="6">
                  <c:v>2015</c:v>
                </c:pt>
                <c:pt idx="7">
                  <c:v>2016</c:v>
                </c:pt>
              </c:strCache>
            </c:strRef>
          </c:cat>
          <c:val>
            <c:numRef>
              <c:f>Pivots!$E$159:$E$167</c:f>
              <c:numCache>
                <c:formatCode>_(* #,##0_);_(* \(#,##0\);_(* "-"??_);_(@_)</c:formatCode>
                <c:ptCount val="8"/>
                <c:pt idx="0">
                  <c:v>80.599999999999994</c:v>
                </c:pt>
                <c:pt idx="1">
                  <c:v>129.95699999999999</c:v>
                </c:pt>
                <c:pt idx="2">
                  <c:v>170.596</c:v>
                </c:pt>
                <c:pt idx="3">
                  <c:v>203.83660000000003</c:v>
                </c:pt>
                <c:pt idx="4">
                  <c:v>241.05400000000003</c:v>
                </c:pt>
                <c:pt idx="5">
                  <c:v>296.46799999999996</c:v>
                </c:pt>
                <c:pt idx="6">
                  <c:v>313.50700000000001</c:v>
                </c:pt>
                <c:pt idx="7">
                  <c:v>314.04899999999998</c:v>
                </c:pt>
              </c:numCache>
            </c:numRef>
          </c:val>
        </c:ser>
        <c:dLbls>
          <c:showLegendKey val="0"/>
          <c:showVal val="0"/>
          <c:showCatName val="0"/>
          <c:showSerName val="0"/>
          <c:showPercent val="0"/>
          <c:showBubbleSize val="0"/>
        </c:dLbls>
        <c:gapWidth val="219"/>
        <c:axId val="392109424"/>
        <c:axId val="392109984"/>
      </c:barChart>
      <c:catAx>
        <c:axId val="39210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109984"/>
        <c:crosses val="autoZero"/>
        <c:auto val="1"/>
        <c:lblAlgn val="ctr"/>
        <c:lblOffset val="100"/>
        <c:noMultiLvlLbl val="0"/>
      </c:catAx>
      <c:valAx>
        <c:axId val="39210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109424"/>
        <c:crosses val="autoZero"/>
        <c:crossBetween val="between"/>
      </c:valAx>
      <c:spPr>
        <a:noFill/>
        <a:ln>
          <a:noFill/>
        </a:ln>
        <a:effectLst/>
      </c:spPr>
    </c:plotArea>
    <c:legend>
      <c:legendPos val="b"/>
      <c:layout>
        <c:manualLayout>
          <c:xMode val="edge"/>
          <c:yMode val="edge"/>
          <c:x val="0"/>
          <c:y val="0.84740349691137096"/>
          <c:w val="1"/>
          <c:h val="0.15259650308862907"/>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Matrix.xlsx]Pivots!PivotTable4</c:name>
    <c:fmtId val="9"/>
  </c:pivotSource>
  <c:chart>
    <c:title>
      <c:tx>
        <c:rich>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r>
              <a:rPr lang="en-US" b="1"/>
              <a:t>Cash</a:t>
            </a:r>
            <a:r>
              <a:rPr lang="en-US" b="1" baseline="0"/>
              <a:t> Costs</a:t>
            </a:r>
            <a:endParaRPr lang="en-US" b="1"/>
          </a:p>
        </c:rich>
      </c:tx>
      <c:layout>
        <c:manualLayout>
          <c:xMode val="edge"/>
          <c:yMode val="edge"/>
          <c:x val="0.40253581583552056"/>
          <c:y val="8.4175084175084174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ln w="28575" cap="rnd">
            <a:no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5730025934258215"/>
          <c:y val="8.6468689519870634E-2"/>
          <c:w val="0.79362091457317829"/>
          <c:h val="0.65342234682785871"/>
        </c:manualLayout>
      </c:layout>
      <c:barChart>
        <c:barDir val="col"/>
        <c:grouping val="stacked"/>
        <c:varyColors val="0"/>
        <c:ser>
          <c:idx val="0"/>
          <c:order val="0"/>
          <c:tx>
            <c:strRef>
              <c:f>Pivots!$C$170</c:f>
              <c:strCache>
                <c:ptCount val="1"/>
                <c:pt idx="0">
                  <c:v>Production Costs </c:v>
                </c:pt>
              </c:strCache>
            </c:strRef>
          </c:tx>
          <c:spPr>
            <a:solidFill>
              <a:schemeClr val="accent1"/>
            </a:solidFill>
            <a:ln>
              <a:noFill/>
            </a:ln>
            <a:effectLst/>
          </c:spPr>
          <c:invertIfNegative val="0"/>
          <c:cat>
            <c:strRef>
              <c:f>Pivots!$B$171:$B$179</c:f>
              <c:strCache>
                <c:ptCount val="8"/>
                <c:pt idx="0">
                  <c:v>2009</c:v>
                </c:pt>
                <c:pt idx="1">
                  <c:v>2010</c:v>
                </c:pt>
                <c:pt idx="2">
                  <c:v>2011</c:v>
                </c:pt>
                <c:pt idx="3">
                  <c:v>2012</c:v>
                </c:pt>
                <c:pt idx="4">
                  <c:v>2013</c:v>
                </c:pt>
                <c:pt idx="5">
                  <c:v>2014</c:v>
                </c:pt>
                <c:pt idx="6">
                  <c:v>2015</c:v>
                </c:pt>
                <c:pt idx="7">
                  <c:v>2016</c:v>
                </c:pt>
              </c:strCache>
            </c:strRef>
          </c:cat>
          <c:val>
            <c:numRef>
              <c:f>Pivots!$C$171:$C$179</c:f>
              <c:numCache>
                <c:formatCode>_(* #,##0_);_(* \(#,##0\);_(* "-"??_);_(@_)</c:formatCode>
                <c:ptCount val="8"/>
                <c:pt idx="0">
                  <c:v>14556.56234</c:v>
                </c:pt>
                <c:pt idx="1">
                  <c:v>14595.117459999999</c:v>
                </c:pt>
                <c:pt idx="2">
                  <c:v>17532.967600000004</c:v>
                </c:pt>
                <c:pt idx="3">
                  <c:v>18118.444599999999</c:v>
                </c:pt>
                <c:pt idx="4">
                  <c:v>21533.944520000001</c:v>
                </c:pt>
                <c:pt idx="5">
                  <c:v>24246.827160000001</c:v>
                </c:pt>
                <c:pt idx="6">
                  <c:v>22374.379840000001</c:v>
                </c:pt>
                <c:pt idx="7">
                  <c:v>18639.130080000003</c:v>
                </c:pt>
              </c:numCache>
            </c:numRef>
          </c:val>
        </c:ser>
        <c:ser>
          <c:idx val="1"/>
          <c:order val="1"/>
          <c:tx>
            <c:strRef>
              <c:f>Pivots!$D$170</c:f>
              <c:strCache>
                <c:ptCount val="1"/>
                <c:pt idx="0">
                  <c:v>G&amp;A and Marketing </c:v>
                </c:pt>
              </c:strCache>
            </c:strRef>
          </c:tx>
          <c:spPr>
            <a:solidFill>
              <a:schemeClr val="accent2"/>
            </a:solidFill>
            <a:ln>
              <a:noFill/>
            </a:ln>
            <a:effectLst/>
          </c:spPr>
          <c:invertIfNegative val="0"/>
          <c:cat>
            <c:strRef>
              <c:f>Pivots!$B$171:$B$179</c:f>
              <c:strCache>
                <c:ptCount val="8"/>
                <c:pt idx="0">
                  <c:v>2009</c:v>
                </c:pt>
                <c:pt idx="1">
                  <c:v>2010</c:v>
                </c:pt>
                <c:pt idx="2">
                  <c:v>2011</c:v>
                </c:pt>
                <c:pt idx="3">
                  <c:v>2012</c:v>
                </c:pt>
                <c:pt idx="4">
                  <c:v>2013</c:v>
                </c:pt>
                <c:pt idx="5">
                  <c:v>2014</c:v>
                </c:pt>
                <c:pt idx="6">
                  <c:v>2015</c:v>
                </c:pt>
                <c:pt idx="7">
                  <c:v>2016</c:v>
                </c:pt>
              </c:strCache>
            </c:strRef>
          </c:cat>
          <c:val>
            <c:numRef>
              <c:f>Pivots!$D$171:$D$179</c:f>
              <c:numCache>
                <c:formatCode>_(* #,##0_);_(* \(#,##0\);_(* "-"??_);_(@_)</c:formatCode>
                <c:ptCount val="8"/>
                <c:pt idx="0">
                  <c:v>3526.4682065644565</c:v>
                </c:pt>
                <c:pt idx="1">
                  <c:v>3147.6654767155082</c:v>
                </c:pt>
                <c:pt idx="2">
                  <c:v>3947.3796775214046</c:v>
                </c:pt>
                <c:pt idx="3">
                  <c:v>4575.1325095552802</c:v>
                </c:pt>
                <c:pt idx="4">
                  <c:v>4461.4890959191753</c:v>
                </c:pt>
                <c:pt idx="5">
                  <c:v>4326.5064766782871</c:v>
                </c:pt>
                <c:pt idx="6">
                  <c:v>4500.9784472566153</c:v>
                </c:pt>
                <c:pt idx="7">
                  <c:v>4202.9019908319178</c:v>
                </c:pt>
              </c:numCache>
            </c:numRef>
          </c:val>
        </c:ser>
        <c:ser>
          <c:idx val="2"/>
          <c:order val="2"/>
          <c:tx>
            <c:strRef>
              <c:f>Pivots!$E$170</c:f>
              <c:strCache>
                <c:ptCount val="1"/>
                <c:pt idx="0">
                  <c:v>Cash Income Taxes </c:v>
                </c:pt>
              </c:strCache>
            </c:strRef>
          </c:tx>
          <c:spPr>
            <a:solidFill>
              <a:schemeClr val="accent3"/>
            </a:solidFill>
            <a:ln>
              <a:noFill/>
            </a:ln>
            <a:effectLst/>
          </c:spPr>
          <c:invertIfNegative val="0"/>
          <c:cat>
            <c:strRef>
              <c:f>Pivots!$B$171:$B$179</c:f>
              <c:strCache>
                <c:ptCount val="8"/>
                <c:pt idx="0">
                  <c:v>2009</c:v>
                </c:pt>
                <c:pt idx="1">
                  <c:v>2010</c:v>
                </c:pt>
                <c:pt idx="2">
                  <c:v>2011</c:v>
                </c:pt>
                <c:pt idx="3">
                  <c:v>2012</c:v>
                </c:pt>
                <c:pt idx="4">
                  <c:v>2013</c:v>
                </c:pt>
                <c:pt idx="5">
                  <c:v>2014</c:v>
                </c:pt>
                <c:pt idx="6">
                  <c:v>2015</c:v>
                </c:pt>
                <c:pt idx="7">
                  <c:v>2016</c:v>
                </c:pt>
              </c:strCache>
            </c:strRef>
          </c:cat>
          <c:val>
            <c:numRef>
              <c:f>Pivots!$E$171:$E$179</c:f>
              <c:numCache>
                <c:formatCode>_(* #,##0_);_(* \(#,##0\);_(* "-"??_);_(@_)</c:formatCode>
                <c:ptCount val="8"/>
                <c:pt idx="0">
                  <c:v>2456.281254529672</c:v>
                </c:pt>
                <c:pt idx="1">
                  <c:v>4943.2870348323377</c:v>
                </c:pt>
                <c:pt idx="2">
                  <c:v>7993.7169686019397</c:v>
                </c:pt>
                <c:pt idx="3">
                  <c:v>8326.7931472865712</c:v>
                </c:pt>
                <c:pt idx="4">
                  <c:v>6337.3378042984186</c:v>
                </c:pt>
                <c:pt idx="5">
                  <c:v>6569.4139334534821</c:v>
                </c:pt>
                <c:pt idx="6">
                  <c:v>1058.6711860834091</c:v>
                </c:pt>
                <c:pt idx="7">
                  <c:v>-655.84982915897353</c:v>
                </c:pt>
              </c:numCache>
            </c:numRef>
          </c:val>
        </c:ser>
        <c:ser>
          <c:idx val="3"/>
          <c:order val="3"/>
          <c:tx>
            <c:strRef>
              <c:f>Pivots!$F$170</c:f>
              <c:strCache>
                <c:ptCount val="1"/>
                <c:pt idx="0">
                  <c:v>Non-Income Taxes </c:v>
                </c:pt>
              </c:strCache>
            </c:strRef>
          </c:tx>
          <c:spPr>
            <a:solidFill>
              <a:schemeClr val="accent4"/>
            </a:solidFill>
            <a:ln>
              <a:noFill/>
            </a:ln>
            <a:effectLst/>
          </c:spPr>
          <c:invertIfNegative val="0"/>
          <c:cat>
            <c:strRef>
              <c:f>Pivots!$B$171:$B$179</c:f>
              <c:strCache>
                <c:ptCount val="8"/>
                <c:pt idx="0">
                  <c:v>2009</c:v>
                </c:pt>
                <c:pt idx="1">
                  <c:v>2010</c:v>
                </c:pt>
                <c:pt idx="2">
                  <c:v>2011</c:v>
                </c:pt>
                <c:pt idx="3">
                  <c:v>2012</c:v>
                </c:pt>
                <c:pt idx="4">
                  <c:v>2013</c:v>
                </c:pt>
                <c:pt idx="5">
                  <c:v>2014</c:v>
                </c:pt>
                <c:pt idx="6">
                  <c:v>2015</c:v>
                </c:pt>
                <c:pt idx="7">
                  <c:v>2016</c:v>
                </c:pt>
              </c:strCache>
            </c:strRef>
          </c:cat>
          <c:val>
            <c:numRef>
              <c:f>Pivots!$F$171:$F$179</c:f>
              <c:numCache>
                <c:formatCode>_(* #,##0_);_(* \(#,##0\);_(* "-"??_);_(@_)</c:formatCode>
                <c:ptCount val="8"/>
                <c:pt idx="0">
                  <c:v>3140.04</c:v>
                </c:pt>
                <c:pt idx="1">
                  <c:v>4216.7280000000001</c:v>
                </c:pt>
                <c:pt idx="2">
                  <c:v>6106.777</c:v>
                </c:pt>
                <c:pt idx="3">
                  <c:v>6026.4750000000004</c:v>
                </c:pt>
                <c:pt idx="4">
                  <c:v>5637.3191999999999</c:v>
                </c:pt>
                <c:pt idx="5">
                  <c:v>5111.9273599999997</c:v>
                </c:pt>
                <c:pt idx="6">
                  <c:v>2681.6412</c:v>
                </c:pt>
                <c:pt idx="7">
                  <c:v>2103.0424000000003</c:v>
                </c:pt>
              </c:numCache>
            </c:numRef>
          </c:val>
        </c:ser>
        <c:ser>
          <c:idx val="4"/>
          <c:order val="4"/>
          <c:tx>
            <c:strRef>
              <c:f>Pivots!$G$170</c:f>
              <c:strCache>
                <c:ptCount val="1"/>
                <c:pt idx="0">
                  <c:v> Total Interest Expense </c:v>
                </c:pt>
              </c:strCache>
            </c:strRef>
          </c:tx>
          <c:spPr>
            <a:solidFill>
              <a:schemeClr val="accent5"/>
            </a:solidFill>
            <a:ln>
              <a:noFill/>
            </a:ln>
            <a:effectLst/>
          </c:spPr>
          <c:invertIfNegative val="0"/>
          <c:cat>
            <c:strRef>
              <c:f>Pivots!$B$171:$B$179</c:f>
              <c:strCache>
                <c:ptCount val="8"/>
                <c:pt idx="0">
                  <c:v>2009</c:v>
                </c:pt>
                <c:pt idx="1">
                  <c:v>2010</c:v>
                </c:pt>
                <c:pt idx="2">
                  <c:v>2011</c:v>
                </c:pt>
                <c:pt idx="3">
                  <c:v>2012</c:v>
                </c:pt>
                <c:pt idx="4">
                  <c:v>2013</c:v>
                </c:pt>
                <c:pt idx="5">
                  <c:v>2014</c:v>
                </c:pt>
                <c:pt idx="6">
                  <c:v>2015</c:v>
                </c:pt>
                <c:pt idx="7">
                  <c:v>2016</c:v>
                </c:pt>
              </c:strCache>
            </c:strRef>
          </c:cat>
          <c:val>
            <c:numRef>
              <c:f>Pivots!$G$171:$G$179</c:f>
              <c:numCache>
                <c:formatCode>_(* #,##0_);_(* \(#,##0\);_(* "-"??_);_(@_)</c:formatCode>
                <c:ptCount val="8"/>
                <c:pt idx="0">
                  <c:v>3235.3589840269256</c:v>
                </c:pt>
                <c:pt idx="1">
                  <c:v>3434.3101849834911</c:v>
                </c:pt>
                <c:pt idx="2">
                  <c:v>3589.5668089676315</c:v>
                </c:pt>
                <c:pt idx="3">
                  <c:v>3933.5876710249199</c:v>
                </c:pt>
                <c:pt idx="4">
                  <c:v>4158.0123617086174</c:v>
                </c:pt>
                <c:pt idx="5">
                  <c:v>4045.1796285297942</c:v>
                </c:pt>
                <c:pt idx="6">
                  <c:v>4177.9179420104647</c:v>
                </c:pt>
                <c:pt idx="7">
                  <c:v>4111.1686914547681</c:v>
                </c:pt>
              </c:numCache>
            </c:numRef>
          </c:val>
        </c:ser>
        <c:dLbls>
          <c:showLegendKey val="0"/>
          <c:showVal val="0"/>
          <c:showCatName val="0"/>
          <c:showSerName val="0"/>
          <c:showPercent val="0"/>
          <c:showBubbleSize val="0"/>
        </c:dLbls>
        <c:gapWidth val="169"/>
        <c:overlap val="100"/>
        <c:axId val="392115024"/>
        <c:axId val="392115584"/>
      </c:barChart>
      <c:lineChart>
        <c:grouping val="standard"/>
        <c:varyColors val="0"/>
        <c:ser>
          <c:idx val="5"/>
          <c:order val="5"/>
          <c:tx>
            <c:strRef>
              <c:f>Pivots!$H$170</c:f>
              <c:strCache>
                <c:ptCount val="1"/>
                <c:pt idx="0">
                  <c:v>Sum of US Cash Costs ($MM)</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Pivots!$B$171:$B$179</c:f>
              <c:strCache>
                <c:ptCount val="8"/>
                <c:pt idx="0">
                  <c:v>2009</c:v>
                </c:pt>
                <c:pt idx="1">
                  <c:v>2010</c:v>
                </c:pt>
                <c:pt idx="2">
                  <c:v>2011</c:v>
                </c:pt>
                <c:pt idx="3">
                  <c:v>2012</c:v>
                </c:pt>
                <c:pt idx="4">
                  <c:v>2013</c:v>
                </c:pt>
                <c:pt idx="5">
                  <c:v>2014</c:v>
                </c:pt>
                <c:pt idx="6">
                  <c:v>2015</c:v>
                </c:pt>
                <c:pt idx="7">
                  <c:v>2016</c:v>
                </c:pt>
              </c:strCache>
            </c:strRef>
          </c:cat>
          <c:val>
            <c:numRef>
              <c:f>Pivots!$H$171:$H$179</c:f>
              <c:numCache>
                <c:formatCode>_(* #,##0_);_(* \(#,##0\);_(* "-"??_);_(@_)</c:formatCode>
                <c:ptCount val="8"/>
                <c:pt idx="0">
                  <c:v>26914.710785121053</c:v>
                </c:pt>
                <c:pt idx="1">
                  <c:v>30337.108156531336</c:v>
                </c:pt>
                <c:pt idx="2">
                  <c:v>39170.408055090971</c:v>
                </c:pt>
                <c:pt idx="3">
                  <c:v>40980.432927866772</c:v>
                </c:pt>
                <c:pt idx="4">
                  <c:v>42128.102981926204</c:v>
                </c:pt>
                <c:pt idx="5">
                  <c:v>44299.854558661551</c:v>
                </c:pt>
                <c:pt idx="6">
                  <c:v>34793.588615350491</c:v>
                </c:pt>
                <c:pt idx="7">
                  <c:v>28400.393333127711</c:v>
                </c:pt>
              </c:numCache>
            </c:numRef>
          </c:val>
          <c:smooth val="0"/>
        </c:ser>
        <c:dLbls>
          <c:showLegendKey val="0"/>
          <c:showVal val="0"/>
          <c:showCatName val="0"/>
          <c:showSerName val="0"/>
          <c:showPercent val="0"/>
          <c:showBubbleSize val="0"/>
        </c:dLbls>
        <c:marker val="1"/>
        <c:smooth val="0"/>
        <c:axId val="392116704"/>
        <c:axId val="392116144"/>
      </c:lineChart>
      <c:catAx>
        <c:axId val="39211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115584"/>
        <c:crosses val="autoZero"/>
        <c:auto val="1"/>
        <c:lblAlgn val="ctr"/>
        <c:lblOffset val="100"/>
        <c:noMultiLvlLbl val="0"/>
      </c:catAx>
      <c:valAx>
        <c:axId val="392115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115024"/>
        <c:crosses val="autoZero"/>
        <c:crossBetween val="between"/>
        <c:dispUnits>
          <c:builtInUnit val="thousands"/>
          <c:dispUnitsLbl>
            <c:layout>
              <c:manualLayout>
                <c:xMode val="edge"/>
                <c:yMode val="edge"/>
                <c:x val="2.48015873015873E-2"/>
                <c:y val="0.27586262891381008"/>
              </c:manualLayout>
            </c:layout>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Billions</a:t>
                  </a:r>
                </a:p>
              </c:rich>
            </c:tx>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dispUnitsLbl>
        </c:dispUnits>
      </c:valAx>
      <c:valAx>
        <c:axId val="392116144"/>
        <c:scaling>
          <c:orientation val="minMax"/>
        </c:scaling>
        <c:delete val="1"/>
        <c:axPos val="r"/>
        <c:numFmt formatCode="_(* #,##0_);_(* \(#,##0\);_(* &quot;-&quot;??_);_(@_)" sourceLinked="1"/>
        <c:majorTickMark val="out"/>
        <c:minorTickMark val="none"/>
        <c:tickLblPos val="nextTo"/>
        <c:crossAx val="392116704"/>
        <c:crosses val="max"/>
        <c:crossBetween val="between"/>
        <c:dispUnits>
          <c:builtInUnit val="thousands"/>
        </c:dispUnits>
      </c:valAx>
      <c:catAx>
        <c:axId val="392116704"/>
        <c:scaling>
          <c:orientation val="minMax"/>
        </c:scaling>
        <c:delete val="1"/>
        <c:axPos val="b"/>
        <c:numFmt formatCode="General" sourceLinked="1"/>
        <c:majorTickMark val="out"/>
        <c:minorTickMark val="none"/>
        <c:tickLblPos val="nextTo"/>
        <c:crossAx val="392116144"/>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0"/>
          <c:y val="0.80110720061507468"/>
          <c:w val="1"/>
          <c:h val="0.1988927993849253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Matrix.xlsx]Pivots!PivotTable6</c:name>
    <c:fmtId val="1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ln w="28575" cap="rnd">
            <a:solidFill>
              <a:schemeClr val="accent1"/>
            </a:solidFill>
            <a:round/>
          </a:ln>
          <a:effectLst/>
        </c:spPr>
        <c:marker>
          <c:symbol val="none"/>
        </c:marker>
      </c:pivotFmt>
      <c:pivotFmt>
        <c:idx val="5"/>
        <c:spPr>
          <a:ln w="28575" cap="rnd">
            <a:solidFill>
              <a:schemeClr val="accent1"/>
            </a:solidFill>
            <a:round/>
          </a:ln>
          <a:effectLst/>
        </c:spPr>
        <c:marker>
          <c:symbol val="none"/>
        </c:marker>
      </c:pivotFmt>
    </c:pivotFmts>
    <c:plotArea>
      <c:layout/>
      <c:lineChart>
        <c:grouping val="standard"/>
        <c:varyColors val="0"/>
        <c:ser>
          <c:idx val="0"/>
          <c:order val="0"/>
          <c:tx>
            <c:strRef>
              <c:f>Pivots!$C$182</c:f>
              <c:strCache>
                <c:ptCount val="1"/>
                <c:pt idx="0">
                  <c:v>US Production</c:v>
                </c:pt>
              </c:strCache>
            </c:strRef>
          </c:tx>
          <c:spPr>
            <a:ln w="28575" cap="rnd">
              <a:solidFill>
                <a:schemeClr val="accent1"/>
              </a:solidFill>
              <a:round/>
            </a:ln>
            <a:effectLst/>
          </c:spPr>
          <c:marker>
            <c:symbol val="none"/>
          </c:marker>
          <c:cat>
            <c:strRef>
              <c:f>Pivots!$B$183:$B$191</c:f>
              <c:strCache>
                <c:ptCount val="8"/>
                <c:pt idx="0">
                  <c:v>2009</c:v>
                </c:pt>
                <c:pt idx="1">
                  <c:v>2010</c:v>
                </c:pt>
                <c:pt idx="2">
                  <c:v>2011</c:v>
                </c:pt>
                <c:pt idx="3">
                  <c:v>2012</c:v>
                </c:pt>
                <c:pt idx="4">
                  <c:v>2013</c:v>
                </c:pt>
                <c:pt idx="5">
                  <c:v>2014</c:v>
                </c:pt>
                <c:pt idx="6">
                  <c:v>2015</c:v>
                </c:pt>
                <c:pt idx="7">
                  <c:v>2016</c:v>
                </c:pt>
              </c:strCache>
            </c:strRef>
          </c:cat>
          <c:val>
            <c:numRef>
              <c:f>Pivots!$C$183:$C$191</c:f>
              <c:numCache>
                <c:formatCode>_(* #,##0_);_(* \(#,##0\);_(* "-"??_);_(@_)</c:formatCode>
                <c:ptCount val="8"/>
                <c:pt idx="0">
                  <c:v>1462.3530000000001</c:v>
                </c:pt>
                <c:pt idx="1">
                  <c:v>1535.5901666666671</c:v>
                </c:pt>
                <c:pt idx="2">
                  <c:v>1674.3801666666666</c:v>
                </c:pt>
                <c:pt idx="3">
                  <c:v>1870.6436666666664</c:v>
                </c:pt>
                <c:pt idx="4">
                  <c:v>2012.1441666666669</c:v>
                </c:pt>
                <c:pt idx="5">
                  <c:v>2134.8043333333335</c:v>
                </c:pt>
                <c:pt idx="6">
                  <c:v>2232.2518333333337</c:v>
                </c:pt>
                <c:pt idx="7">
                  <c:v>2091.9508333333333</c:v>
                </c:pt>
              </c:numCache>
            </c:numRef>
          </c:val>
          <c:smooth val="0"/>
        </c:ser>
        <c:ser>
          <c:idx val="1"/>
          <c:order val="1"/>
          <c:tx>
            <c:strRef>
              <c:f>Pivots!$D$182</c:f>
              <c:strCache>
                <c:ptCount val="1"/>
                <c:pt idx="0">
                  <c:v>US Additions</c:v>
                </c:pt>
              </c:strCache>
            </c:strRef>
          </c:tx>
          <c:spPr>
            <a:ln w="28575" cap="rnd">
              <a:solidFill>
                <a:schemeClr val="accent2"/>
              </a:solidFill>
              <a:round/>
            </a:ln>
            <a:effectLst/>
          </c:spPr>
          <c:marker>
            <c:symbol val="none"/>
          </c:marker>
          <c:cat>
            <c:strRef>
              <c:f>Pivots!$B$183:$B$191</c:f>
              <c:strCache>
                <c:ptCount val="8"/>
                <c:pt idx="0">
                  <c:v>2009</c:v>
                </c:pt>
                <c:pt idx="1">
                  <c:v>2010</c:v>
                </c:pt>
                <c:pt idx="2">
                  <c:v>2011</c:v>
                </c:pt>
                <c:pt idx="3">
                  <c:v>2012</c:v>
                </c:pt>
                <c:pt idx="4">
                  <c:v>2013</c:v>
                </c:pt>
                <c:pt idx="5">
                  <c:v>2014</c:v>
                </c:pt>
                <c:pt idx="6">
                  <c:v>2015</c:v>
                </c:pt>
                <c:pt idx="7">
                  <c:v>2016</c:v>
                </c:pt>
              </c:strCache>
            </c:strRef>
          </c:cat>
          <c:val>
            <c:numRef>
              <c:f>Pivots!$D$183:$D$191</c:f>
              <c:numCache>
                <c:formatCode>_(* #,##0_);_(* \(#,##0\);_(* "-"??_);_(@_)</c:formatCode>
                <c:ptCount val="8"/>
                <c:pt idx="0">
                  <c:v>2747.7551666666664</c:v>
                </c:pt>
                <c:pt idx="1">
                  <c:v>4657.8591666666662</c:v>
                </c:pt>
                <c:pt idx="2">
                  <c:v>4177.8206666666665</c:v>
                </c:pt>
                <c:pt idx="3">
                  <c:v>2136.529833333333</c:v>
                </c:pt>
                <c:pt idx="4">
                  <c:v>5277.4261666666671</c:v>
                </c:pt>
                <c:pt idx="5">
                  <c:v>6298.257333333333</c:v>
                </c:pt>
                <c:pt idx="6">
                  <c:v>-2616.8450000000003</c:v>
                </c:pt>
                <c:pt idx="7">
                  <c:v>3121.9546666666665</c:v>
                </c:pt>
              </c:numCache>
            </c:numRef>
          </c:val>
          <c:smooth val="0"/>
        </c:ser>
        <c:dLbls>
          <c:showLegendKey val="0"/>
          <c:showVal val="0"/>
          <c:showCatName val="0"/>
          <c:showSerName val="0"/>
          <c:showPercent val="0"/>
          <c:showBubbleSize val="0"/>
        </c:dLbls>
        <c:smooth val="0"/>
        <c:axId val="392283712"/>
        <c:axId val="392284272"/>
      </c:lineChart>
      <c:catAx>
        <c:axId val="39228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284272"/>
        <c:crosses val="autoZero"/>
        <c:auto val="1"/>
        <c:lblAlgn val="ctr"/>
        <c:lblOffset val="100"/>
        <c:noMultiLvlLbl val="0"/>
      </c:catAx>
      <c:valAx>
        <c:axId val="3922842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2837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0521653543308"/>
          <c:y val="0.12331649831649831"/>
          <c:w val="0.83507315491813527"/>
          <c:h val="0.50805462764124187"/>
        </c:manualLayout>
      </c:layout>
      <c:barChart>
        <c:barDir val="col"/>
        <c:grouping val="clustered"/>
        <c:varyColors val="0"/>
        <c:ser>
          <c:idx val="1"/>
          <c:order val="1"/>
          <c:tx>
            <c:strRef>
              <c:f>'Price Charts'!$H$13</c:f>
              <c:strCache>
                <c:ptCount val="1"/>
                <c:pt idx="0">
                  <c:v>Realized Oil Price</c:v>
                </c:pt>
              </c:strCache>
            </c:strRef>
          </c:tx>
          <c:spPr>
            <a:solidFill>
              <a:schemeClr val="accent3">
                <a:lumMod val="60000"/>
                <a:lumOff val="40000"/>
              </a:schemeClr>
            </a:solidFill>
            <a:ln>
              <a:noFill/>
            </a:ln>
            <a:effectLst/>
          </c:spPr>
          <c:invertIfNegative val="0"/>
          <c:cat>
            <c:multiLvlStrRef>
              <c:f>'Price Charts'!$F$14:$G$33</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'Price Charts'!$H$14:$H$33</c:f>
              <c:numCache>
                <c:formatCode>#,##0.00</c:formatCode>
                <c:ptCount val="20"/>
                <c:pt idx="0">
                  <c:v>97.463433091972931</c:v>
                </c:pt>
                <c:pt idx="1">
                  <c:v>90.618144352601206</c:v>
                </c:pt>
                <c:pt idx="2">
                  <c:v>90.548305263200263</c:v>
                </c:pt>
                <c:pt idx="3">
                  <c:v>97.992322873868346</c:v>
                </c:pt>
                <c:pt idx="4">
                  <c:v>93.497538859106299</c:v>
                </c:pt>
                <c:pt idx="5">
                  <c:v>94.205658185873318</c:v>
                </c:pt>
                <c:pt idx="6">
                  <c:v>99.351487960998611</c:v>
                </c:pt>
                <c:pt idx="7">
                  <c:v>92.443098166660917</c:v>
                </c:pt>
                <c:pt idx="8">
                  <c:v>90.628871315772528</c:v>
                </c:pt>
                <c:pt idx="9">
                  <c:v>92.915578267458542</c:v>
                </c:pt>
                <c:pt idx="10">
                  <c:v>88.386980562009455</c:v>
                </c:pt>
                <c:pt idx="11">
                  <c:v>72.565299196538632</c:v>
                </c:pt>
                <c:pt idx="12">
                  <c:v>48.510853219466114</c:v>
                </c:pt>
                <c:pt idx="13">
                  <c:v>57.877731232547312</c:v>
                </c:pt>
                <c:pt idx="14">
                  <c:v>48.810384477868723</c:v>
                </c:pt>
                <c:pt idx="15">
                  <c:v>45.515293368111585</c:v>
                </c:pt>
                <c:pt idx="16">
                  <c:v>28.379749114795263</c:v>
                </c:pt>
                <c:pt idx="17">
                  <c:v>39.743230988913268</c:v>
                </c:pt>
                <c:pt idx="18">
                  <c:v>41.11858687299808</c:v>
                </c:pt>
                <c:pt idx="19">
                  <c:v>45.59657315969104</c:v>
                </c:pt>
              </c:numCache>
            </c:numRef>
          </c:val>
        </c:ser>
        <c:dLbls>
          <c:showLegendKey val="0"/>
          <c:showVal val="0"/>
          <c:showCatName val="0"/>
          <c:showSerName val="0"/>
          <c:showPercent val="0"/>
          <c:showBubbleSize val="0"/>
        </c:dLbls>
        <c:gapWidth val="219"/>
        <c:overlap val="-27"/>
        <c:axId val="392287072"/>
        <c:axId val="392287632"/>
      </c:barChart>
      <c:lineChart>
        <c:grouping val="standard"/>
        <c:varyColors val="0"/>
        <c:ser>
          <c:idx val="0"/>
          <c:order val="0"/>
          <c:tx>
            <c:strRef>
              <c:f>'Price Charts'!$I$13</c:f>
              <c:strCache>
                <c:ptCount val="1"/>
                <c:pt idx="0">
                  <c:v>Average WTI Price</c:v>
                </c:pt>
              </c:strCache>
            </c:strRef>
          </c:tx>
          <c:spPr>
            <a:ln w="28575" cap="rnd">
              <a:noFill/>
              <a:round/>
            </a:ln>
            <a:effectLst/>
          </c:spPr>
          <c:marker>
            <c:symbol val="circle"/>
            <c:size val="5"/>
            <c:spPr>
              <a:noFill/>
              <a:ln w="31750">
                <a:solidFill>
                  <a:srgbClr val="219A00"/>
                </a:solidFill>
              </a:ln>
              <a:effectLst/>
            </c:spPr>
          </c:marker>
          <c:cat>
            <c:multiLvlStrRef>
              <c:f>'Price Charts'!$F$14:$G$33</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'Price Charts'!$I$14:$I$33</c:f>
              <c:numCache>
                <c:formatCode>#,##0.00</c:formatCode>
                <c:ptCount val="20"/>
                <c:pt idx="0">
                  <c:v>102.98</c:v>
                </c:pt>
                <c:pt idx="1">
                  <c:v>93.29</c:v>
                </c:pt>
                <c:pt idx="2">
                  <c:v>92.17</c:v>
                </c:pt>
                <c:pt idx="3">
                  <c:v>88.01</c:v>
                </c:pt>
                <c:pt idx="4">
                  <c:v>94.33</c:v>
                </c:pt>
                <c:pt idx="5">
                  <c:v>94.05</c:v>
                </c:pt>
                <c:pt idx="6">
                  <c:v>105.83</c:v>
                </c:pt>
                <c:pt idx="7">
                  <c:v>97.44</c:v>
                </c:pt>
                <c:pt idx="8">
                  <c:v>98.68</c:v>
                </c:pt>
                <c:pt idx="9">
                  <c:v>103.35</c:v>
                </c:pt>
                <c:pt idx="10">
                  <c:v>97.87</c:v>
                </c:pt>
                <c:pt idx="11">
                  <c:v>73.209999999999994</c:v>
                </c:pt>
                <c:pt idx="12">
                  <c:v>48.49</c:v>
                </c:pt>
                <c:pt idx="13">
                  <c:v>57.85</c:v>
                </c:pt>
                <c:pt idx="14">
                  <c:v>46.64</c:v>
                </c:pt>
                <c:pt idx="15">
                  <c:v>41.94</c:v>
                </c:pt>
                <c:pt idx="16">
                  <c:v>33.35</c:v>
                </c:pt>
                <c:pt idx="17">
                  <c:v>45.46</c:v>
                </c:pt>
                <c:pt idx="18">
                  <c:v>44.85</c:v>
                </c:pt>
                <c:pt idx="19">
                  <c:v>49.14</c:v>
                </c:pt>
              </c:numCache>
            </c:numRef>
          </c:val>
          <c:smooth val="0"/>
        </c:ser>
        <c:dLbls>
          <c:showLegendKey val="0"/>
          <c:showVal val="0"/>
          <c:showCatName val="0"/>
          <c:showSerName val="0"/>
          <c:showPercent val="0"/>
          <c:showBubbleSize val="0"/>
        </c:dLbls>
        <c:marker val="1"/>
        <c:smooth val="0"/>
        <c:axId val="392287072"/>
        <c:axId val="392287632"/>
      </c:lineChart>
      <c:catAx>
        <c:axId val="39228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287632"/>
        <c:crosses val="autoZero"/>
        <c:auto val="1"/>
        <c:lblAlgn val="ctr"/>
        <c:lblOffset val="100"/>
        <c:noMultiLvlLbl val="0"/>
      </c:catAx>
      <c:valAx>
        <c:axId val="39228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a:t>
                </a:r>
              </a:p>
            </c:rich>
          </c:tx>
          <c:layout>
            <c:manualLayout>
              <c:xMode val="edge"/>
              <c:yMode val="edge"/>
              <c:x val="3.1749937507811513E-3"/>
              <c:y val="0.3001448209125374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2287072"/>
        <c:crosses val="autoZero"/>
        <c:crossBetween val="between"/>
      </c:valAx>
      <c:spPr>
        <a:noFill/>
        <a:ln>
          <a:noFill/>
        </a:ln>
        <a:effectLst/>
      </c:spPr>
    </c:plotArea>
    <c:legend>
      <c:legendPos val="b"/>
      <c:layout>
        <c:manualLayout>
          <c:xMode val="edge"/>
          <c:yMode val="edge"/>
          <c:x val="0.13096097362829645"/>
          <c:y val="0.90353966170895306"/>
          <c:w val="0.74303817491563551"/>
          <c:h val="9.646033829104695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775030153752"/>
          <c:y val="0.13215256236909781"/>
          <c:w val="0.82173264927249934"/>
          <c:h val="0.49112423447069115"/>
        </c:manualLayout>
      </c:layout>
      <c:barChart>
        <c:barDir val="col"/>
        <c:grouping val="clustered"/>
        <c:varyColors val="0"/>
        <c:ser>
          <c:idx val="0"/>
          <c:order val="0"/>
          <c:tx>
            <c:strRef>
              <c:f>'Price Charts'!$C$13</c:f>
              <c:strCache>
                <c:ptCount val="1"/>
                <c:pt idx="0">
                  <c:v>Realized Gas Price</c:v>
                </c:pt>
              </c:strCache>
            </c:strRef>
          </c:tx>
          <c:spPr>
            <a:solidFill>
              <a:schemeClr val="accent2">
                <a:lumMod val="60000"/>
                <a:lumOff val="40000"/>
              </a:schemeClr>
            </a:solidFill>
            <a:ln>
              <a:noFill/>
            </a:ln>
            <a:effectLst/>
          </c:spPr>
          <c:invertIfNegative val="0"/>
          <c:cat>
            <c:multiLvlStrRef>
              <c:f>'Price Charts'!$A$14:$B$33</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'Price Charts'!$C$14:$C$33</c:f>
              <c:numCache>
                <c:formatCode>#,##0.00</c:formatCode>
                <c:ptCount val="20"/>
                <c:pt idx="0">
                  <c:v>3.0668873153550473</c:v>
                </c:pt>
                <c:pt idx="1">
                  <c:v>2.6587676770111806</c:v>
                </c:pt>
                <c:pt idx="2">
                  <c:v>3.0202496032475654</c:v>
                </c:pt>
                <c:pt idx="3">
                  <c:v>3.518207033772951</c:v>
                </c:pt>
                <c:pt idx="4">
                  <c:v>3.1943633401566749</c:v>
                </c:pt>
                <c:pt idx="5">
                  <c:v>3.40109794698254</c:v>
                </c:pt>
                <c:pt idx="6">
                  <c:v>3.1564381981715375</c:v>
                </c:pt>
                <c:pt idx="7">
                  <c:v>3.1065909003596723</c:v>
                </c:pt>
                <c:pt idx="8">
                  <c:v>4.0663398367713723</c:v>
                </c:pt>
                <c:pt idx="9">
                  <c:v>3.6078111268960278</c:v>
                </c:pt>
                <c:pt idx="10">
                  <c:v>3.1614039752446934</c:v>
                </c:pt>
                <c:pt idx="11">
                  <c:v>3.2521469704798278</c:v>
                </c:pt>
                <c:pt idx="12">
                  <c:v>3.0005861609790805</c:v>
                </c:pt>
                <c:pt idx="13">
                  <c:v>2.2112254318040283</c:v>
                </c:pt>
                <c:pt idx="14">
                  <c:v>1.9892035272951427</c:v>
                </c:pt>
                <c:pt idx="15">
                  <c:v>2.8265175038171244</c:v>
                </c:pt>
                <c:pt idx="16">
                  <c:v>1.8578671650992811</c:v>
                </c:pt>
                <c:pt idx="17">
                  <c:v>1.710035930247795</c:v>
                </c:pt>
                <c:pt idx="18">
                  <c:v>2.1348274712028719</c:v>
                </c:pt>
                <c:pt idx="19">
                  <c:v>2.4606922088817105</c:v>
                </c:pt>
              </c:numCache>
            </c:numRef>
          </c:val>
        </c:ser>
        <c:dLbls>
          <c:showLegendKey val="0"/>
          <c:showVal val="0"/>
          <c:showCatName val="0"/>
          <c:showSerName val="0"/>
          <c:showPercent val="0"/>
          <c:showBubbleSize val="0"/>
        </c:dLbls>
        <c:gapWidth val="219"/>
        <c:axId val="550817104"/>
        <c:axId val="550817664"/>
      </c:barChart>
      <c:lineChart>
        <c:grouping val="standard"/>
        <c:varyColors val="0"/>
        <c:ser>
          <c:idx val="1"/>
          <c:order val="1"/>
          <c:tx>
            <c:strRef>
              <c:f>'Price Charts'!$D$13</c:f>
              <c:strCache>
                <c:ptCount val="1"/>
                <c:pt idx="0">
                  <c:v>Average HH Price</c:v>
                </c:pt>
              </c:strCache>
            </c:strRef>
          </c:tx>
          <c:spPr>
            <a:ln w="28575" cap="rnd">
              <a:noFill/>
              <a:round/>
            </a:ln>
            <a:effectLst/>
          </c:spPr>
          <c:marker>
            <c:symbol val="circle"/>
            <c:size val="5"/>
            <c:spPr>
              <a:noFill/>
              <a:ln w="31750">
                <a:solidFill>
                  <a:srgbClr val="A40000"/>
                </a:solidFill>
              </a:ln>
              <a:effectLst/>
            </c:spPr>
          </c:marker>
          <c:cat>
            <c:multiLvlStrRef>
              <c:f>'Price Charts'!$A$14:$B$33</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'Price Charts'!$D$14:$D$33</c:f>
              <c:numCache>
                <c:formatCode>#,##0.00</c:formatCode>
                <c:ptCount val="20"/>
                <c:pt idx="0">
                  <c:v>2.41</c:v>
                </c:pt>
                <c:pt idx="1">
                  <c:v>2.2799999999999998</c:v>
                </c:pt>
                <c:pt idx="2">
                  <c:v>2.88</c:v>
                </c:pt>
                <c:pt idx="3">
                  <c:v>3.4</c:v>
                </c:pt>
                <c:pt idx="4">
                  <c:v>3.49</c:v>
                </c:pt>
                <c:pt idx="5">
                  <c:v>4.01</c:v>
                </c:pt>
                <c:pt idx="6">
                  <c:v>3.56</c:v>
                </c:pt>
                <c:pt idx="7">
                  <c:v>3.85</c:v>
                </c:pt>
                <c:pt idx="8">
                  <c:v>5.21</c:v>
                </c:pt>
                <c:pt idx="9">
                  <c:v>4.6100000000000003</c:v>
                </c:pt>
                <c:pt idx="10">
                  <c:v>3.96</c:v>
                </c:pt>
                <c:pt idx="11">
                  <c:v>3.8</c:v>
                </c:pt>
                <c:pt idx="12">
                  <c:v>2.9</c:v>
                </c:pt>
                <c:pt idx="13">
                  <c:v>2.75</c:v>
                </c:pt>
                <c:pt idx="14">
                  <c:v>2.76</c:v>
                </c:pt>
                <c:pt idx="15">
                  <c:v>2.12</c:v>
                </c:pt>
                <c:pt idx="16">
                  <c:v>1.99</c:v>
                </c:pt>
                <c:pt idx="17">
                  <c:v>2.15</c:v>
                </c:pt>
                <c:pt idx="18">
                  <c:v>2.88</c:v>
                </c:pt>
                <c:pt idx="19">
                  <c:v>3.04</c:v>
                </c:pt>
              </c:numCache>
            </c:numRef>
          </c:val>
          <c:smooth val="0"/>
        </c:ser>
        <c:dLbls>
          <c:showLegendKey val="0"/>
          <c:showVal val="0"/>
          <c:showCatName val="0"/>
          <c:showSerName val="0"/>
          <c:showPercent val="0"/>
          <c:showBubbleSize val="0"/>
        </c:dLbls>
        <c:marker val="1"/>
        <c:smooth val="0"/>
        <c:axId val="550817104"/>
        <c:axId val="550817664"/>
      </c:lineChart>
      <c:catAx>
        <c:axId val="55081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0817664"/>
        <c:crosses val="autoZero"/>
        <c:auto val="1"/>
        <c:lblAlgn val="ctr"/>
        <c:lblOffset val="100"/>
        <c:noMultiLvlLbl val="0"/>
      </c:catAx>
      <c:valAx>
        <c:axId val="550817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$/MMBtu</a:t>
                </a:r>
              </a:p>
            </c:rich>
          </c:tx>
          <c:layout>
            <c:manualLayout>
              <c:xMode val="edge"/>
              <c:yMode val="edge"/>
              <c:x val="0"/>
              <c:y val="0.2735028433945756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0817104"/>
        <c:crosses val="autoZero"/>
        <c:crossBetween val="between"/>
      </c:valAx>
      <c:spPr>
        <a:noFill/>
        <a:ln>
          <a:noFill/>
        </a:ln>
        <a:effectLst/>
      </c:spPr>
    </c:plotArea>
    <c:legend>
      <c:legendPos val="b"/>
      <c:layout>
        <c:manualLayout>
          <c:xMode val="edge"/>
          <c:yMode val="edge"/>
          <c:x val="8.6168197725284335E-2"/>
          <c:y val="0.89389362787984838"/>
          <c:w val="0.78877449693788282"/>
          <c:h val="0.1061063721201516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8429258842644"/>
          <c:y val="0.14539124844242957"/>
          <c:w val="0.84274934383202105"/>
          <c:h val="0.52896815928311991"/>
        </c:manualLayout>
      </c:layout>
      <c:barChart>
        <c:barDir val="col"/>
        <c:grouping val="clustered"/>
        <c:varyColors val="0"/>
        <c:ser>
          <c:idx val="0"/>
          <c:order val="0"/>
          <c:tx>
            <c:strRef>
              <c:f>'Price Charts'!$M$13</c:f>
              <c:strCache>
                <c:ptCount val="1"/>
                <c:pt idx="0">
                  <c:v>Realized NGL Price</c:v>
                </c:pt>
              </c:strCache>
            </c:strRef>
          </c:tx>
          <c:spPr>
            <a:solidFill>
              <a:schemeClr val="bg1">
                <a:lumMod val="65000"/>
              </a:schemeClr>
            </a:solidFill>
            <a:ln>
              <a:noFill/>
            </a:ln>
            <a:effectLst/>
          </c:spPr>
          <c:invertIfNegative val="0"/>
          <c:cat>
            <c:multiLvlStrRef>
              <c:f>'Price Charts'!$K$14:$L$33</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'Price Charts'!$M$14:$M$33</c:f>
              <c:numCache>
                <c:formatCode>#,##0.00</c:formatCode>
                <c:ptCount val="20"/>
                <c:pt idx="0">
                  <c:v>40.343746342181205</c:v>
                </c:pt>
                <c:pt idx="1">
                  <c:v>33.02063765977551</c:v>
                </c:pt>
                <c:pt idx="2">
                  <c:v>30.736570994299537</c:v>
                </c:pt>
                <c:pt idx="3">
                  <c:v>30.291195639913997</c:v>
                </c:pt>
                <c:pt idx="4">
                  <c:v>29.562430564492338</c:v>
                </c:pt>
                <c:pt idx="5">
                  <c:v>27.658811504592489</c:v>
                </c:pt>
                <c:pt idx="6">
                  <c:v>29.662225780500094</c:v>
                </c:pt>
                <c:pt idx="7">
                  <c:v>31.633785438690982</c:v>
                </c:pt>
                <c:pt idx="8">
                  <c:v>32.213331323512982</c:v>
                </c:pt>
                <c:pt idx="9">
                  <c:v>27.003945797539327</c:v>
                </c:pt>
                <c:pt idx="10">
                  <c:v>26.731755145254336</c:v>
                </c:pt>
                <c:pt idx="11">
                  <c:v>26.583586983054811</c:v>
                </c:pt>
                <c:pt idx="12">
                  <c:v>12.297435836257215</c:v>
                </c:pt>
                <c:pt idx="13">
                  <c:v>11.610082327210607</c:v>
                </c:pt>
                <c:pt idx="14">
                  <c:v>7.9572258210428712</c:v>
                </c:pt>
                <c:pt idx="15">
                  <c:v>13.484450119400435</c:v>
                </c:pt>
                <c:pt idx="16">
                  <c:v>8.2482407844204904</c:v>
                </c:pt>
                <c:pt idx="17">
                  <c:v>11.427848846472918</c:v>
                </c:pt>
                <c:pt idx="18">
                  <c:v>11.587559993990485</c:v>
                </c:pt>
                <c:pt idx="19">
                  <c:v>16.350805618519722</c:v>
                </c:pt>
              </c:numCache>
            </c:numRef>
          </c:val>
        </c:ser>
        <c:dLbls>
          <c:showLegendKey val="0"/>
          <c:showVal val="0"/>
          <c:showCatName val="0"/>
          <c:showSerName val="0"/>
          <c:showPercent val="0"/>
          <c:showBubbleSize val="0"/>
        </c:dLbls>
        <c:gapWidth val="219"/>
        <c:axId val="550821024"/>
        <c:axId val="550821584"/>
      </c:barChart>
      <c:lineChart>
        <c:grouping val="standard"/>
        <c:varyColors val="0"/>
        <c:ser>
          <c:idx val="1"/>
          <c:order val="1"/>
          <c:tx>
            <c:strRef>
              <c:f>'Price Charts'!$N$13</c:f>
              <c:strCache>
                <c:ptCount val="1"/>
                <c:pt idx="0">
                  <c:v>Average EIA NGL Price</c:v>
                </c:pt>
              </c:strCache>
            </c:strRef>
          </c:tx>
          <c:spPr>
            <a:ln w="28575" cap="rnd">
              <a:noFill/>
              <a:round/>
            </a:ln>
            <a:effectLst/>
          </c:spPr>
          <c:marker>
            <c:symbol val="circle"/>
            <c:size val="5"/>
            <c:spPr>
              <a:noFill/>
              <a:ln w="31750">
                <a:solidFill>
                  <a:schemeClr val="tx1"/>
                </a:solidFill>
              </a:ln>
              <a:effectLst/>
            </c:spPr>
          </c:marker>
          <c:cat>
            <c:multiLvlStrRef>
              <c:f>'Price Charts'!$K$14:$L$33</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'Price Charts'!$N$14:$N$33</c:f>
              <c:numCache>
                <c:formatCode>#,##0.00</c:formatCode>
                <c:ptCount val="20"/>
                <c:pt idx="0">
                  <c:v>78.84</c:v>
                </c:pt>
                <c:pt idx="1">
                  <c:v>64.5</c:v>
                </c:pt>
                <c:pt idx="2">
                  <c:v>59.760000000000005</c:v>
                </c:pt>
                <c:pt idx="3">
                  <c:v>60.480000000000004</c:v>
                </c:pt>
                <c:pt idx="4">
                  <c:v>58.62</c:v>
                </c:pt>
                <c:pt idx="5">
                  <c:v>56.34</c:v>
                </c:pt>
                <c:pt idx="6">
                  <c:v>60.06</c:v>
                </c:pt>
                <c:pt idx="7">
                  <c:v>63.179999999999993</c:v>
                </c:pt>
                <c:pt idx="8">
                  <c:v>67.14</c:v>
                </c:pt>
                <c:pt idx="9">
                  <c:v>60.900000000000006</c:v>
                </c:pt>
                <c:pt idx="10">
                  <c:v>58.980000000000004</c:v>
                </c:pt>
                <c:pt idx="11">
                  <c:v>44.46</c:v>
                </c:pt>
                <c:pt idx="12">
                  <c:v>32.58</c:v>
                </c:pt>
                <c:pt idx="13">
                  <c:v>31.200000000000003</c:v>
                </c:pt>
                <c:pt idx="14">
                  <c:v>28.08</c:v>
                </c:pt>
                <c:pt idx="15">
                  <c:v>27.599999999999998</c:v>
                </c:pt>
                <c:pt idx="16">
                  <c:v>24.119999999999997</c:v>
                </c:pt>
                <c:pt idx="17">
                  <c:v>30</c:v>
                </c:pt>
                <c:pt idx="18">
                  <c:v>30.240000000000002</c:v>
                </c:pt>
                <c:pt idx="19">
                  <c:v>36.299999999999997</c:v>
                </c:pt>
              </c:numCache>
            </c:numRef>
          </c:val>
          <c:smooth val="0"/>
        </c:ser>
        <c:dLbls>
          <c:showLegendKey val="0"/>
          <c:showVal val="0"/>
          <c:showCatName val="0"/>
          <c:showSerName val="0"/>
          <c:showPercent val="0"/>
          <c:showBubbleSize val="0"/>
        </c:dLbls>
        <c:marker val="1"/>
        <c:smooth val="0"/>
        <c:axId val="550821024"/>
        <c:axId val="550821584"/>
      </c:lineChart>
      <c:catAx>
        <c:axId val="55082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0821584"/>
        <c:crosses val="autoZero"/>
        <c:auto val="1"/>
        <c:lblAlgn val="ctr"/>
        <c:lblOffset val="100"/>
        <c:noMultiLvlLbl val="0"/>
      </c:catAx>
      <c:valAx>
        <c:axId val="550821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$/Bbl</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50821024"/>
        <c:crosses val="autoZero"/>
        <c:crossBetween val="between"/>
      </c:valAx>
      <c:spPr>
        <a:noFill/>
        <a:ln>
          <a:noFill/>
        </a:ln>
        <a:effectLst/>
      </c:spPr>
    </c:plotArea>
    <c:legend>
      <c:legendPos val="b"/>
      <c:layout>
        <c:manualLayout>
          <c:xMode val="edge"/>
          <c:yMode val="edge"/>
          <c:x val="8.7868118047744026E-2"/>
          <c:y val="0.90353966170895306"/>
          <c:w val="0.83418439882514683"/>
          <c:h val="9.646033829104695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[CEE Upstream Matrix.xlsx]Pivots!Cost Stack with 10% Return ($/BOE)</c:name>
    <c:fmtId val="1"/>
  </c:pivotSource>
  <c:chart>
    <c:autoTitleDeleted val="0"/>
    <c:pivotFmts>
      <c:pivotFmt>
        <c:idx val="0"/>
        <c:spPr>
          <a:solidFill>
            <a:schemeClr val="accent3"/>
          </a:solidFill>
          <a:ln>
            <a:noFill/>
          </a:ln>
          <a:effectLst/>
        </c:spPr>
        <c:marker>
          <c:symbol val="none"/>
        </c:marker>
      </c:pivotFmt>
      <c:pivotFmt>
        <c:idx val="1"/>
        <c:spPr>
          <a:solidFill>
            <a:schemeClr val="accent3"/>
          </a:solidFill>
          <a:ln>
            <a:noFill/>
          </a:ln>
          <a:effectLst/>
        </c:spPr>
        <c:marker>
          <c:symbol val="none"/>
        </c:marker>
      </c:pivotFmt>
      <c:pivotFmt>
        <c:idx val="2"/>
        <c:spPr>
          <a:solidFill>
            <a:schemeClr val="accent3"/>
          </a:solidFill>
          <a:ln>
            <a:noFill/>
          </a:ln>
          <a:effectLst/>
        </c:spPr>
        <c:marker>
          <c:symbol val="none"/>
        </c:marker>
      </c:pivotFmt>
      <c:pivotFmt>
        <c:idx val="3"/>
        <c:spPr>
          <a:solidFill>
            <a:schemeClr val="accent3"/>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3"/>
          </a:solidFill>
          <a:ln>
            <a:noFill/>
          </a:ln>
          <a:effectLst/>
        </c:spPr>
        <c:marker>
          <c:symbol val="none"/>
        </c:marker>
      </c:pivotFmt>
    </c:pivotFmts>
    <c:plotArea>
      <c:layout>
        <c:manualLayout>
          <c:layoutTarget val="inner"/>
          <c:xMode val="edge"/>
          <c:yMode val="edge"/>
          <c:x val="0.11872129265091863"/>
          <c:y val="0.11363636363636363"/>
          <c:w val="0.83640033277090364"/>
          <c:h val="0.63041007184707976"/>
        </c:manualLayout>
      </c:layout>
      <c:barChart>
        <c:barDir val="bar"/>
        <c:grouping val="stacked"/>
        <c:varyColors val="0"/>
        <c:ser>
          <c:idx val="0"/>
          <c:order val="0"/>
          <c:tx>
            <c:strRef>
              <c:f>Pivots!$C$14</c:f>
              <c:strCache>
                <c:ptCount val="1"/>
                <c:pt idx="0">
                  <c:v>3-Year MA FD Costs</c:v>
                </c:pt>
              </c:strCache>
            </c:strRef>
          </c:tx>
          <c:spPr>
            <a:solidFill>
              <a:schemeClr val="accent3">
                <a:shade val="65000"/>
              </a:schemeClr>
            </a:solidFill>
            <a:ln>
              <a:noFill/>
            </a:ln>
            <a:effectLst/>
          </c:spPr>
          <c:invertIfNegative val="0"/>
          <c:cat>
            <c:strRef>
              <c:f>Pivots!$B$15:$B$23</c:f>
              <c:strCache>
                <c:ptCount val="8"/>
                <c:pt idx="0">
                  <c:v>2009</c:v>
                </c:pt>
                <c:pt idx="1">
                  <c:v>2010</c:v>
                </c:pt>
                <c:pt idx="2">
                  <c:v>2011</c:v>
                </c:pt>
                <c:pt idx="3">
                  <c:v>2012</c:v>
                </c:pt>
                <c:pt idx="4">
                  <c:v>2013</c:v>
                </c:pt>
                <c:pt idx="5">
                  <c:v>2014</c:v>
                </c:pt>
                <c:pt idx="6">
                  <c:v>2015</c:v>
                </c:pt>
                <c:pt idx="7">
                  <c:v>2016</c:v>
                </c:pt>
              </c:strCache>
            </c:strRef>
          </c:cat>
          <c:val>
            <c:numRef>
              <c:f>Pivots!$C$15:$C$23</c:f>
              <c:numCache>
                <c:formatCode>0.00</c:formatCode>
                <c:ptCount val="8"/>
                <c:pt idx="0">
                  <c:v>18.159319304846328</c:v>
                </c:pt>
                <c:pt idx="1">
                  <c:v>16.394098560058584</c:v>
                </c:pt>
                <c:pt idx="2">
                  <c:v>13.638083608187035</c:v>
                </c:pt>
                <c:pt idx="3">
                  <c:v>18.334898266769663</c:v>
                </c:pt>
                <c:pt idx="4">
                  <c:v>17.224964019033031</c:v>
                </c:pt>
                <c:pt idx="5">
                  <c:v>16.346031545188541</c:v>
                </c:pt>
                <c:pt idx="6">
                  <c:v>22.768262390105029</c:v>
                </c:pt>
                <c:pt idx="7">
                  <c:v>25.656499054071318</c:v>
                </c:pt>
              </c:numCache>
            </c:numRef>
          </c:val>
        </c:ser>
        <c:ser>
          <c:idx val="1"/>
          <c:order val="1"/>
          <c:tx>
            <c:strRef>
              <c:f>Pivots!$D$14</c:f>
              <c:strCache>
                <c:ptCount val="1"/>
                <c:pt idx="0">
                  <c:v>Cash Costs</c:v>
                </c:pt>
              </c:strCache>
            </c:strRef>
          </c:tx>
          <c:spPr>
            <a:solidFill>
              <a:schemeClr val="accent3"/>
            </a:solidFill>
            <a:ln>
              <a:noFill/>
            </a:ln>
            <a:effectLst/>
          </c:spPr>
          <c:invertIfNegative val="0"/>
          <c:cat>
            <c:strRef>
              <c:f>Pivots!$B$15:$B$23</c:f>
              <c:strCache>
                <c:ptCount val="8"/>
                <c:pt idx="0">
                  <c:v>2009</c:v>
                </c:pt>
                <c:pt idx="1">
                  <c:v>2010</c:v>
                </c:pt>
                <c:pt idx="2">
                  <c:v>2011</c:v>
                </c:pt>
                <c:pt idx="3">
                  <c:v>2012</c:v>
                </c:pt>
                <c:pt idx="4">
                  <c:v>2013</c:v>
                </c:pt>
                <c:pt idx="5">
                  <c:v>2014</c:v>
                </c:pt>
                <c:pt idx="6">
                  <c:v>2015</c:v>
                </c:pt>
                <c:pt idx="7">
                  <c:v>2016</c:v>
                </c:pt>
              </c:strCache>
            </c:strRef>
          </c:cat>
          <c:val>
            <c:numRef>
              <c:f>Pivots!$D$15:$D$23</c:f>
              <c:numCache>
                <c:formatCode>0.00</c:formatCode>
                <c:ptCount val="8"/>
                <c:pt idx="0">
                  <c:v>18.405070995252892</c:v>
                </c:pt>
                <c:pt idx="1">
                  <c:v>19.755992721928298</c:v>
                </c:pt>
                <c:pt idx="2">
                  <c:v>23.393975176540039</c:v>
                </c:pt>
                <c:pt idx="3">
                  <c:v>21.907129432560794</c:v>
                </c:pt>
                <c:pt idx="4">
                  <c:v>20.936920763344673</c:v>
                </c:pt>
                <c:pt idx="5">
                  <c:v>20.751248190268903</c:v>
                </c:pt>
                <c:pt idx="6">
                  <c:v>15.58676673294276</c:v>
                </c:pt>
                <c:pt idx="7">
                  <c:v>13.576032897424396</c:v>
                </c:pt>
              </c:numCache>
            </c:numRef>
          </c:val>
        </c:ser>
        <c:ser>
          <c:idx val="2"/>
          <c:order val="2"/>
          <c:tx>
            <c:strRef>
              <c:f>Pivots!$E$14</c:f>
              <c:strCache>
                <c:ptCount val="1"/>
                <c:pt idx="0">
                  <c:v>10% Return </c:v>
                </c:pt>
              </c:strCache>
            </c:strRef>
          </c:tx>
          <c:spPr>
            <a:solidFill>
              <a:schemeClr val="accent3">
                <a:tint val="65000"/>
              </a:schemeClr>
            </a:solidFill>
            <a:ln>
              <a:noFill/>
            </a:ln>
            <a:effectLst/>
          </c:spPr>
          <c:invertIfNegative val="0"/>
          <c:cat>
            <c:strRef>
              <c:f>Pivots!$B$15:$B$23</c:f>
              <c:strCache>
                <c:ptCount val="8"/>
                <c:pt idx="0">
                  <c:v>2009</c:v>
                </c:pt>
                <c:pt idx="1">
                  <c:v>2010</c:v>
                </c:pt>
                <c:pt idx="2">
                  <c:v>2011</c:v>
                </c:pt>
                <c:pt idx="3">
                  <c:v>2012</c:v>
                </c:pt>
                <c:pt idx="4">
                  <c:v>2013</c:v>
                </c:pt>
                <c:pt idx="5">
                  <c:v>2014</c:v>
                </c:pt>
                <c:pt idx="6">
                  <c:v>2015</c:v>
                </c:pt>
                <c:pt idx="7">
                  <c:v>2016</c:v>
                </c:pt>
              </c:strCache>
            </c:strRef>
          </c:cat>
          <c:val>
            <c:numRef>
              <c:f>Pivots!$E$15:$E$23</c:f>
              <c:numCache>
                <c:formatCode>0.00</c:formatCode>
                <c:ptCount val="8"/>
                <c:pt idx="0">
                  <c:v>3.9734339646529291</c:v>
                </c:pt>
                <c:pt idx="1">
                  <c:v>5.879670703578439</c:v>
                </c:pt>
                <c:pt idx="2">
                  <c:v>6.3309879181216004</c:v>
                </c:pt>
                <c:pt idx="3">
                  <c:v>6.1673876208314109</c:v>
                </c:pt>
                <c:pt idx="4">
                  <c:v>4.9982615385126667</c:v>
                </c:pt>
                <c:pt idx="5">
                  <c:v>6.4527215636465769</c:v>
                </c:pt>
                <c:pt idx="6">
                  <c:v>3.607732981233247</c:v>
                </c:pt>
                <c:pt idx="7">
                  <c:v>3.0477652398520059</c:v>
                </c:pt>
              </c:numCache>
            </c:numRef>
          </c:val>
        </c:ser>
        <c:dLbls>
          <c:showLegendKey val="0"/>
          <c:showVal val="0"/>
          <c:showCatName val="0"/>
          <c:showSerName val="0"/>
          <c:showPercent val="0"/>
          <c:showBubbleSize val="0"/>
        </c:dLbls>
        <c:gapWidth val="114"/>
        <c:overlap val="100"/>
        <c:axId val="388908960"/>
        <c:axId val="388909520"/>
      </c:barChart>
      <c:catAx>
        <c:axId val="388908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8909520"/>
        <c:crosses val="autoZero"/>
        <c:auto val="1"/>
        <c:lblAlgn val="ctr"/>
        <c:lblOffset val="100"/>
        <c:noMultiLvlLbl val="0"/>
      </c:catAx>
      <c:valAx>
        <c:axId val="388909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8908960"/>
        <c:crosses val="autoZero"/>
        <c:crossBetween val="between"/>
      </c:valAx>
      <c:spPr>
        <a:noFill/>
        <a:ln>
          <a:noFill/>
        </a:ln>
        <a:effectLst/>
      </c:spPr>
    </c:plotArea>
    <c:legend>
      <c:legendPos val="b"/>
      <c:layout>
        <c:manualLayout>
          <c:xMode val="edge"/>
          <c:yMode val="edge"/>
          <c:x val="0"/>
          <c:y val="0.85547999681857934"/>
          <c:w val="1"/>
          <c:h val="0.144520003181420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HiLowAvg!$J$2</c:f>
              <c:strCache>
                <c:ptCount val="1"/>
                <c:pt idx="0">
                  <c:v>3-Yr MA FD Costs/3-Yr MA Additions</c:v>
                </c:pt>
              </c:strCache>
            </c:strRef>
          </c:tx>
          <c:spPr>
            <a:solidFill>
              <a:schemeClr val="accent1"/>
            </a:solidFill>
            <a:ln>
              <a:noFill/>
            </a:ln>
            <a:effectLst/>
          </c:spPr>
          <c:invertIfNegative val="0"/>
          <c:cat>
            <c:numRef>
              <c:extLst>
                <c:ext xmlns:c15="http://schemas.microsoft.com/office/drawing/2012/chart" uri="{02D57815-91ED-43cb-92C2-25804820EDAC}">
                  <c15:fullRef>
                    <c15:sqref>HiLowAvg!$H$3:$H$29</c15:sqref>
                  </c15:fullRef>
                </c:ext>
              </c:extLst>
              <c:f>(HiLowAvg!$H$4,HiLowAvg!$H$8,HiLowAvg!$H$12,HiLowAvg!$H$16,HiLowAvg!$H$20,HiLowAvg!$H$24,HiLowAvg!$H$28)</c:f>
              <c:numCache>
                <c:formatCode>0</c:formatCode>
                <c:ptCount val="7"/>
                <c:pt idx="0">
                  <c:v>2009</c:v>
                </c:pt>
                <c:pt idx="1">
                  <c:v>2010</c:v>
                </c:pt>
                <c:pt idx="2">
                  <c:v>2011</c:v>
                </c:pt>
                <c:pt idx="3">
                  <c:v>2012</c:v>
                </c:pt>
                <c:pt idx="4">
                  <c:v>2013</c:v>
                </c:pt>
                <c:pt idx="5">
                  <c:v>2014</c:v>
                </c:pt>
                <c:pt idx="6">
                  <c:v>2015</c:v>
                </c:pt>
              </c:numCache>
            </c:numRef>
          </c:cat>
          <c:val>
            <c:numRef>
              <c:extLst>
                <c:ext xmlns:c15="http://schemas.microsoft.com/office/drawing/2012/chart" uri="{02D57815-91ED-43cb-92C2-25804820EDAC}">
                  <c15:fullRef>
                    <c15:sqref>HiLowAvg!$J$3:$J$29</c15:sqref>
                  </c15:fullRef>
                </c:ext>
              </c:extLst>
              <c:f>(HiLowAvg!$J$4,HiLowAvg!$J$8,HiLowAvg!$J$12,HiLowAvg!$J$16,HiLowAvg!$J$20,HiLowAvg!$J$24,HiLowAvg!$J$28)</c:f>
              <c:numCache>
                <c:formatCode>_(* #,##0.00_);_(* \(#,##0.00\);_(* "-"??_);_(@_)</c:formatCode>
                <c:ptCount val="7"/>
                <c:pt idx="0">
                  <c:v>17.965258892786967</c:v>
                </c:pt>
                <c:pt idx="1">
                  <c:v>15.875442591510245</c:v>
                </c:pt>
                <c:pt idx="2">
                  <c:v>12.682004853236228</c:v>
                </c:pt>
                <c:pt idx="3">
                  <c:v>17.409040821440648</c:v>
                </c:pt>
                <c:pt idx="4">
                  <c:v>16.630855473914135</c:v>
                </c:pt>
                <c:pt idx="5">
                  <c:v>16.095651131491994</c:v>
                </c:pt>
                <c:pt idx="6">
                  <c:v>23.056752238984625</c:v>
                </c:pt>
              </c:numCache>
            </c:numRef>
          </c:val>
        </c:ser>
        <c:ser>
          <c:idx val="1"/>
          <c:order val="1"/>
          <c:tx>
            <c:strRef>
              <c:f>HiLowAvg!$K$2</c:f>
              <c:strCache>
                <c:ptCount val="1"/>
                <c:pt idx="0">
                  <c:v>Annual Cash Costs per Bbl of Production </c:v>
                </c:pt>
              </c:strCache>
            </c:strRef>
          </c:tx>
          <c:spPr>
            <a:solidFill>
              <a:schemeClr val="accent2"/>
            </a:solidFill>
            <a:ln>
              <a:noFill/>
            </a:ln>
            <a:effectLst/>
          </c:spPr>
          <c:invertIfNegative val="0"/>
          <c:cat>
            <c:numRef>
              <c:extLst>
                <c:ext xmlns:c15="http://schemas.microsoft.com/office/drawing/2012/chart" uri="{02D57815-91ED-43cb-92C2-25804820EDAC}">
                  <c15:fullRef>
                    <c15:sqref>HiLowAvg!$H$3:$H$29</c15:sqref>
                  </c15:fullRef>
                </c:ext>
              </c:extLst>
              <c:f>(HiLowAvg!$H$4,HiLowAvg!$H$8,HiLowAvg!$H$12,HiLowAvg!$H$16,HiLowAvg!$H$20,HiLowAvg!$H$24,HiLowAvg!$H$28)</c:f>
              <c:numCache>
                <c:formatCode>0</c:formatCode>
                <c:ptCount val="7"/>
                <c:pt idx="0">
                  <c:v>2009</c:v>
                </c:pt>
                <c:pt idx="1">
                  <c:v>2010</c:v>
                </c:pt>
                <c:pt idx="2">
                  <c:v>2011</c:v>
                </c:pt>
                <c:pt idx="3">
                  <c:v>2012</c:v>
                </c:pt>
                <c:pt idx="4">
                  <c:v>2013</c:v>
                </c:pt>
                <c:pt idx="5">
                  <c:v>2014</c:v>
                </c:pt>
                <c:pt idx="6">
                  <c:v>2015</c:v>
                </c:pt>
              </c:numCache>
            </c:numRef>
          </c:cat>
          <c:val>
            <c:numRef>
              <c:extLst>
                <c:ext xmlns:c15="http://schemas.microsoft.com/office/drawing/2012/chart" uri="{02D57815-91ED-43cb-92C2-25804820EDAC}">
                  <c15:fullRef>
                    <c15:sqref>HiLowAvg!$K$3:$K$29</c15:sqref>
                  </c15:fullRef>
                </c:ext>
              </c:extLst>
              <c:f>(HiLowAvg!$K$4,HiLowAvg!$K$8,HiLowAvg!$K$12,HiLowAvg!$K$16,HiLowAvg!$K$20,HiLowAvg!$K$24,HiLowAvg!$K$28)</c:f>
              <c:numCache>
                <c:formatCode>_(* #,##0.00_);_(* \(#,##0.00\);_(* "-"??_);_(@_)</c:formatCode>
                <c:ptCount val="7"/>
                <c:pt idx="0">
                  <c:v>16.969555187429446</c:v>
                </c:pt>
                <c:pt idx="1">
                  <c:v>19.019663411720408</c:v>
                </c:pt>
                <c:pt idx="2">
                  <c:v>22.507535730663161</c:v>
                </c:pt>
                <c:pt idx="3">
                  <c:v>20.261454074173567</c:v>
                </c:pt>
                <c:pt idx="4">
                  <c:v>19.403577805721568</c:v>
                </c:pt>
                <c:pt idx="5">
                  <c:v>19.905166638654205</c:v>
                </c:pt>
                <c:pt idx="6">
                  <c:v>15.077429662826217</c:v>
                </c:pt>
              </c:numCache>
            </c:numRef>
          </c:val>
        </c:ser>
        <c:dLbls>
          <c:showLegendKey val="0"/>
          <c:showVal val="0"/>
          <c:showCatName val="0"/>
          <c:showSerName val="0"/>
          <c:showPercent val="0"/>
          <c:showBubbleSize val="0"/>
        </c:dLbls>
        <c:gapWidth val="150"/>
        <c:overlap val="100"/>
        <c:axId val="388663984"/>
        <c:axId val="388664544"/>
      </c:barChart>
      <c:catAx>
        <c:axId val="38866398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664544"/>
        <c:crosses val="autoZero"/>
        <c:auto val="1"/>
        <c:lblAlgn val="ctr"/>
        <c:lblOffset val="100"/>
        <c:noMultiLvlLbl val="0"/>
      </c:catAx>
      <c:valAx>
        <c:axId val="38866454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663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pivotSource>
    <c:name>[CEE Upstream Matrix.xlsx]Pivots!Cost Stack with Return Equal to FD Capex</c:name>
    <c:fmtId val="1"/>
  </c:pivotSource>
  <c:chart>
    <c:autoTitleDeleted val="0"/>
    <c:pivotFmts>
      <c:pivotFmt>
        <c:idx val="0"/>
        <c:spPr>
          <a:solidFill>
            <a:schemeClr val="accent3"/>
          </a:solidFill>
          <a:ln>
            <a:noFill/>
          </a:ln>
          <a:effectLst/>
        </c:spPr>
        <c:marker>
          <c:symbol val="none"/>
        </c:marker>
      </c:pivotFmt>
      <c:pivotFmt>
        <c:idx val="1"/>
        <c:spPr>
          <a:solidFill>
            <a:schemeClr val="accent3"/>
          </a:solidFill>
          <a:ln>
            <a:noFill/>
          </a:ln>
          <a:effectLst/>
        </c:spPr>
        <c:marker>
          <c:symbol val="none"/>
        </c:marker>
      </c:pivotFmt>
      <c:pivotFmt>
        <c:idx val="2"/>
        <c:spPr>
          <a:solidFill>
            <a:schemeClr val="accent3"/>
          </a:solidFill>
          <a:ln>
            <a:noFill/>
          </a:ln>
          <a:effectLst/>
        </c:spPr>
        <c:marker>
          <c:symbol val="none"/>
        </c:marker>
      </c:pivotFmt>
      <c:pivotFmt>
        <c:idx val="3"/>
        <c:spPr>
          <a:solidFill>
            <a:schemeClr val="accent3"/>
          </a:solidFill>
          <a:ln>
            <a:noFill/>
          </a:ln>
          <a:effectLst/>
        </c:spPr>
        <c:marker>
          <c:symbol val="none"/>
        </c:marker>
      </c:pivotFmt>
      <c:pivotFmt>
        <c:idx val="4"/>
        <c:spPr>
          <a:solidFill>
            <a:schemeClr val="accent3"/>
          </a:solidFill>
          <a:ln>
            <a:noFill/>
          </a:ln>
          <a:effectLst/>
        </c:spPr>
        <c:marker>
          <c:symbol val="none"/>
        </c:marker>
      </c:pivotFmt>
      <c:pivotFmt>
        <c:idx val="5"/>
        <c:spPr>
          <a:solidFill>
            <a:schemeClr val="accent3"/>
          </a:solidFill>
          <a:ln>
            <a:noFill/>
          </a:ln>
          <a:effectLst/>
        </c:spPr>
        <c:marker>
          <c:symbol val="none"/>
        </c:marker>
      </c:pivotFmt>
      <c:pivotFmt>
        <c:idx val="6"/>
        <c:spPr>
          <a:solidFill>
            <a:schemeClr val="accent3"/>
          </a:solidFill>
          <a:ln>
            <a:noFill/>
          </a:ln>
          <a:effectLst/>
        </c:spPr>
        <c:marker>
          <c:symbol val="none"/>
        </c:marker>
      </c:pivotFmt>
      <c:pivotFmt>
        <c:idx val="7"/>
        <c:spPr>
          <a:solidFill>
            <a:schemeClr val="accent3"/>
          </a:solidFill>
          <a:ln>
            <a:noFill/>
          </a:ln>
          <a:effectLst/>
        </c:spPr>
        <c:marker>
          <c:symbol val="none"/>
        </c:marker>
      </c:pivotFmt>
      <c:pivotFmt>
        <c:idx val="8"/>
        <c:spPr>
          <a:solidFill>
            <a:schemeClr val="accent3"/>
          </a:solidFill>
          <a:ln>
            <a:noFill/>
          </a:ln>
          <a:effectLst/>
        </c:spPr>
        <c:marker>
          <c:symbol val="none"/>
        </c:marker>
      </c:pivotFmt>
    </c:pivotFmts>
    <c:plotArea>
      <c:layout>
        <c:manualLayout>
          <c:layoutTarget val="inner"/>
          <c:xMode val="edge"/>
          <c:yMode val="edge"/>
          <c:x val="0.12036019619419376"/>
          <c:y val="0.12205387205387205"/>
          <c:w val="0.82522193012987355"/>
          <c:h val="0.6349598345661337"/>
        </c:manualLayout>
      </c:layout>
      <c:barChart>
        <c:barDir val="bar"/>
        <c:grouping val="stacked"/>
        <c:varyColors val="0"/>
        <c:ser>
          <c:idx val="0"/>
          <c:order val="0"/>
          <c:tx>
            <c:strRef>
              <c:f>Pivots!$C$26</c:f>
              <c:strCache>
                <c:ptCount val="1"/>
                <c:pt idx="0">
                  <c:v>3-Year MA FD Costs</c:v>
                </c:pt>
              </c:strCache>
            </c:strRef>
          </c:tx>
          <c:spPr>
            <a:solidFill>
              <a:schemeClr val="accent3">
                <a:shade val="65000"/>
              </a:schemeClr>
            </a:solidFill>
            <a:ln>
              <a:noFill/>
            </a:ln>
            <a:effectLst/>
          </c:spPr>
          <c:invertIfNegative val="0"/>
          <c:cat>
            <c:strRef>
              <c:f>Pivots!$B$27:$B$35</c:f>
              <c:strCache>
                <c:ptCount val="8"/>
                <c:pt idx="0">
                  <c:v>2009</c:v>
                </c:pt>
                <c:pt idx="1">
                  <c:v>2010</c:v>
                </c:pt>
                <c:pt idx="2">
                  <c:v>2011</c:v>
                </c:pt>
                <c:pt idx="3">
                  <c:v>2012</c:v>
                </c:pt>
                <c:pt idx="4">
                  <c:v>2013</c:v>
                </c:pt>
                <c:pt idx="5">
                  <c:v>2014</c:v>
                </c:pt>
                <c:pt idx="6">
                  <c:v>2015</c:v>
                </c:pt>
                <c:pt idx="7">
                  <c:v>2016</c:v>
                </c:pt>
              </c:strCache>
            </c:strRef>
          </c:cat>
          <c:val>
            <c:numRef>
              <c:f>Pivots!$C$27:$C$35</c:f>
              <c:numCache>
                <c:formatCode>General</c:formatCode>
                <c:ptCount val="8"/>
                <c:pt idx="0">
                  <c:v>18.159319304846328</c:v>
                </c:pt>
                <c:pt idx="1">
                  <c:v>16.394098560058584</c:v>
                </c:pt>
                <c:pt idx="2">
                  <c:v>13.638083608187035</c:v>
                </c:pt>
                <c:pt idx="3">
                  <c:v>18.334898266769663</c:v>
                </c:pt>
                <c:pt idx="4">
                  <c:v>17.224964019033031</c:v>
                </c:pt>
                <c:pt idx="5">
                  <c:v>16.346031545188541</c:v>
                </c:pt>
                <c:pt idx="6">
                  <c:v>22.768262390105029</c:v>
                </c:pt>
                <c:pt idx="7">
                  <c:v>25.656499054071318</c:v>
                </c:pt>
              </c:numCache>
            </c:numRef>
          </c:val>
        </c:ser>
        <c:ser>
          <c:idx val="1"/>
          <c:order val="1"/>
          <c:tx>
            <c:strRef>
              <c:f>Pivots!$D$26</c:f>
              <c:strCache>
                <c:ptCount val="1"/>
                <c:pt idx="0">
                  <c:v>Cash Costs</c:v>
                </c:pt>
              </c:strCache>
            </c:strRef>
          </c:tx>
          <c:spPr>
            <a:solidFill>
              <a:schemeClr val="accent3"/>
            </a:solidFill>
            <a:ln>
              <a:noFill/>
            </a:ln>
            <a:effectLst/>
          </c:spPr>
          <c:invertIfNegative val="0"/>
          <c:cat>
            <c:strRef>
              <c:f>Pivots!$B$27:$B$35</c:f>
              <c:strCache>
                <c:ptCount val="8"/>
                <c:pt idx="0">
                  <c:v>2009</c:v>
                </c:pt>
                <c:pt idx="1">
                  <c:v>2010</c:v>
                </c:pt>
                <c:pt idx="2">
                  <c:v>2011</c:v>
                </c:pt>
                <c:pt idx="3">
                  <c:v>2012</c:v>
                </c:pt>
                <c:pt idx="4">
                  <c:v>2013</c:v>
                </c:pt>
                <c:pt idx="5">
                  <c:v>2014</c:v>
                </c:pt>
                <c:pt idx="6">
                  <c:v>2015</c:v>
                </c:pt>
                <c:pt idx="7">
                  <c:v>2016</c:v>
                </c:pt>
              </c:strCache>
            </c:strRef>
          </c:cat>
          <c:val>
            <c:numRef>
              <c:f>Pivots!$D$27:$D$35</c:f>
              <c:numCache>
                <c:formatCode>_(* #,##0_);_(* \(#,##0\);_(* "-"??_);_(@_)</c:formatCode>
                <c:ptCount val="8"/>
                <c:pt idx="0">
                  <c:v>18.405070995252892</c:v>
                </c:pt>
                <c:pt idx="1">
                  <c:v>19.755992721928298</c:v>
                </c:pt>
                <c:pt idx="2">
                  <c:v>23.393975176540039</c:v>
                </c:pt>
                <c:pt idx="3">
                  <c:v>21.907129432560794</c:v>
                </c:pt>
                <c:pt idx="4">
                  <c:v>20.936920763344673</c:v>
                </c:pt>
                <c:pt idx="5">
                  <c:v>20.751248190268903</c:v>
                </c:pt>
                <c:pt idx="6">
                  <c:v>15.58676673294276</c:v>
                </c:pt>
                <c:pt idx="7">
                  <c:v>13.576032897424396</c:v>
                </c:pt>
              </c:numCache>
            </c:numRef>
          </c:val>
        </c:ser>
        <c:ser>
          <c:idx val="2"/>
          <c:order val="2"/>
          <c:tx>
            <c:strRef>
              <c:f>Pivots!$E$26</c:f>
              <c:strCache>
                <c:ptCount val="1"/>
                <c:pt idx="0">
                  <c:v>FD Return</c:v>
                </c:pt>
              </c:strCache>
            </c:strRef>
          </c:tx>
          <c:spPr>
            <a:solidFill>
              <a:schemeClr val="accent3">
                <a:tint val="65000"/>
              </a:schemeClr>
            </a:solidFill>
            <a:ln>
              <a:noFill/>
            </a:ln>
            <a:effectLst/>
          </c:spPr>
          <c:invertIfNegative val="0"/>
          <c:cat>
            <c:strRef>
              <c:f>Pivots!$B$27:$B$35</c:f>
              <c:strCache>
                <c:ptCount val="8"/>
                <c:pt idx="0">
                  <c:v>2009</c:v>
                </c:pt>
                <c:pt idx="1">
                  <c:v>2010</c:v>
                </c:pt>
                <c:pt idx="2">
                  <c:v>2011</c:v>
                </c:pt>
                <c:pt idx="3">
                  <c:v>2012</c:v>
                </c:pt>
                <c:pt idx="4">
                  <c:v>2013</c:v>
                </c:pt>
                <c:pt idx="5">
                  <c:v>2014</c:v>
                </c:pt>
                <c:pt idx="6">
                  <c:v>2015</c:v>
                </c:pt>
                <c:pt idx="7">
                  <c:v>2016</c:v>
                </c:pt>
              </c:strCache>
            </c:strRef>
          </c:cat>
          <c:val>
            <c:numRef>
              <c:f>Pivots!$E$27:$E$35</c:f>
              <c:numCache>
                <c:formatCode>General</c:formatCode>
                <c:ptCount val="8"/>
                <c:pt idx="0">
                  <c:v>21.329268651276401</c:v>
                </c:pt>
                <c:pt idx="1">
                  <c:v>39.040714313856085</c:v>
                </c:pt>
                <c:pt idx="2">
                  <c:v>39.915904004675959</c:v>
                </c:pt>
                <c:pt idx="3">
                  <c:v>39.766746775753305</c:v>
                </c:pt>
                <c:pt idx="4">
                  <c:v>29.045694621781983</c:v>
                </c:pt>
                <c:pt idx="5">
                  <c:v>43.775967446196859</c:v>
                </c:pt>
                <c:pt idx="6">
                  <c:v>20.490563079389712</c:v>
                </c:pt>
                <c:pt idx="7">
                  <c:v>16.90161950109567</c:v>
                </c:pt>
              </c:numCache>
            </c:numRef>
          </c:val>
        </c:ser>
        <c:dLbls>
          <c:showLegendKey val="0"/>
          <c:showVal val="0"/>
          <c:showCatName val="0"/>
          <c:showSerName val="0"/>
          <c:showPercent val="0"/>
          <c:showBubbleSize val="0"/>
        </c:dLbls>
        <c:gapWidth val="114"/>
        <c:overlap val="100"/>
        <c:axId val="388970400"/>
        <c:axId val="388970960"/>
      </c:barChart>
      <c:catAx>
        <c:axId val="38897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8970960"/>
        <c:crosses val="autoZero"/>
        <c:auto val="1"/>
        <c:lblAlgn val="ctr"/>
        <c:lblOffset val="100"/>
        <c:noMultiLvlLbl val="0"/>
      </c:catAx>
      <c:valAx>
        <c:axId val="3889709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8970400"/>
        <c:crosses val="autoZero"/>
        <c:crossBetween val="between"/>
      </c:valAx>
      <c:spPr>
        <a:noFill/>
        <a:ln>
          <a:noFill/>
        </a:ln>
        <a:effectLst/>
      </c:spPr>
    </c:plotArea>
    <c:legend>
      <c:legendPos val="b"/>
      <c:layout>
        <c:manualLayout>
          <c:xMode val="edge"/>
          <c:yMode val="edge"/>
          <c:x val="0"/>
          <c:y val="0.85968875102733355"/>
          <c:w val="0.99095620859892508"/>
          <c:h val="0.1403112489726663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[CEE Upstream Matrix.xlsx]Pivots!Cost Stack with 10% Return ($/BCFE)</c:name>
    <c:fmtId val="1"/>
  </c:pivotSource>
  <c:chart>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s>
    <c:plotArea>
      <c:layout>
        <c:manualLayout>
          <c:layoutTarget val="inner"/>
          <c:xMode val="edge"/>
          <c:yMode val="edge"/>
          <c:x val="0.12036019619419376"/>
          <c:y val="0.12205387205387205"/>
          <c:w val="0.82522193012987355"/>
          <c:h val="0.6349598345661337"/>
        </c:manualLayout>
      </c:layout>
      <c:barChart>
        <c:barDir val="bar"/>
        <c:grouping val="stacked"/>
        <c:varyColors val="0"/>
        <c:ser>
          <c:idx val="0"/>
          <c:order val="0"/>
          <c:tx>
            <c:strRef>
              <c:f>Pivots!$C$38</c:f>
              <c:strCache>
                <c:ptCount val="1"/>
                <c:pt idx="0">
                  <c:v>3-Year MA FD Costs</c:v>
                </c:pt>
              </c:strCache>
            </c:strRef>
          </c:tx>
          <c:spPr>
            <a:solidFill>
              <a:schemeClr val="accent2">
                <a:shade val="65000"/>
              </a:schemeClr>
            </a:solidFill>
            <a:ln>
              <a:noFill/>
            </a:ln>
            <a:effectLst/>
          </c:spPr>
          <c:invertIfNegative val="0"/>
          <c:cat>
            <c:strRef>
              <c:f>Pivots!$B$39:$B$47</c:f>
              <c:strCache>
                <c:ptCount val="8"/>
                <c:pt idx="0">
                  <c:v>2009</c:v>
                </c:pt>
                <c:pt idx="1">
                  <c:v>2010</c:v>
                </c:pt>
                <c:pt idx="2">
                  <c:v>2011</c:v>
                </c:pt>
                <c:pt idx="3">
                  <c:v>2012</c:v>
                </c:pt>
                <c:pt idx="4">
                  <c:v>2013</c:v>
                </c:pt>
                <c:pt idx="5">
                  <c:v>2014</c:v>
                </c:pt>
                <c:pt idx="6">
                  <c:v>2015</c:v>
                </c:pt>
                <c:pt idx="7">
                  <c:v>2016</c:v>
                </c:pt>
              </c:strCache>
            </c:strRef>
          </c:cat>
          <c:val>
            <c:numRef>
              <c:f>Pivots!$C$39:$C$47</c:f>
              <c:numCache>
                <c:formatCode>0.00</c:formatCode>
                <c:ptCount val="8"/>
                <c:pt idx="0">
                  <c:v>3.0265532174743881</c:v>
                </c:pt>
                <c:pt idx="1">
                  <c:v>2.7323497600097642</c:v>
                </c:pt>
                <c:pt idx="2">
                  <c:v>2.2730139346978389</c:v>
                </c:pt>
                <c:pt idx="3">
                  <c:v>3.0558163777949434</c:v>
                </c:pt>
                <c:pt idx="4">
                  <c:v>2.8708273365055059</c:v>
                </c:pt>
                <c:pt idx="5">
                  <c:v>2.7243385908647562</c:v>
                </c:pt>
                <c:pt idx="6">
                  <c:v>3.7947103983508392</c:v>
                </c:pt>
                <c:pt idx="7">
                  <c:v>4.2760831756785525</c:v>
                </c:pt>
              </c:numCache>
            </c:numRef>
          </c:val>
        </c:ser>
        <c:ser>
          <c:idx val="1"/>
          <c:order val="1"/>
          <c:tx>
            <c:strRef>
              <c:f>Pivots!$D$38</c:f>
              <c:strCache>
                <c:ptCount val="1"/>
                <c:pt idx="0">
                  <c:v>Cash Costs</c:v>
                </c:pt>
              </c:strCache>
            </c:strRef>
          </c:tx>
          <c:spPr>
            <a:solidFill>
              <a:schemeClr val="accent2"/>
            </a:solidFill>
            <a:ln>
              <a:noFill/>
            </a:ln>
            <a:effectLst/>
          </c:spPr>
          <c:invertIfNegative val="0"/>
          <c:cat>
            <c:strRef>
              <c:f>Pivots!$B$39:$B$47</c:f>
              <c:strCache>
                <c:ptCount val="8"/>
                <c:pt idx="0">
                  <c:v>2009</c:v>
                </c:pt>
                <c:pt idx="1">
                  <c:v>2010</c:v>
                </c:pt>
                <c:pt idx="2">
                  <c:v>2011</c:v>
                </c:pt>
                <c:pt idx="3">
                  <c:v>2012</c:v>
                </c:pt>
                <c:pt idx="4">
                  <c:v>2013</c:v>
                </c:pt>
                <c:pt idx="5">
                  <c:v>2014</c:v>
                </c:pt>
                <c:pt idx="6">
                  <c:v>2015</c:v>
                </c:pt>
                <c:pt idx="7">
                  <c:v>2016</c:v>
                </c:pt>
              </c:strCache>
            </c:strRef>
          </c:cat>
          <c:val>
            <c:numRef>
              <c:f>Pivots!$D$39:$D$47</c:f>
              <c:numCache>
                <c:formatCode>0.00</c:formatCode>
                <c:ptCount val="8"/>
                <c:pt idx="0">
                  <c:v>3.0675118325421487</c:v>
                </c:pt>
                <c:pt idx="1">
                  <c:v>3.2926654536547169</c:v>
                </c:pt>
                <c:pt idx="2">
                  <c:v>3.8989958627566725</c:v>
                </c:pt>
                <c:pt idx="3">
                  <c:v>3.6511882387601315</c:v>
                </c:pt>
                <c:pt idx="4">
                  <c:v>3.4894867938907788</c:v>
                </c:pt>
                <c:pt idx="5">
                  <c:v>3.4585413650448174</c:v>
                </c:pt>
                <c:pt idx="6">
                  <c:v>2.5977944554904604</c:v>
                </c:pt>
                <c:pt idx="7">
                  <c:v>2.262672149570732</c:v>
                </c:pt>
              </c:numCache>
            </c:numRef>
          </c:val>
        </c:ser>
        <c:ser>
          <c:idx val="2"/>
          <c:order val="2"/>
          <c:tx>
            <c:strRef>
              <c:f>Pivots!$E$38</c:f>
              <c:strCache>
                <c:ptCount val="1"/>
                <c:pt idx="0">
                  <c:v>10% Return </c:v>
                </c:pt>
              </c:strCache>
            </c:strRef>
          </c:tx>
          <c:spPr>
            <a:solidFill>
              <a:schemeClr val="accent2">
                <a:tint val="65000"/>
              </a:schemeClr>
            </a:solidFill>
            <a:ln>
              <a:noFill/>
            </a:ln>
            <a:effectLst/>
          </c:spPr>
          <c:invertIfNegative val="0"/>
          <c:cat>
            <c:strRef>
              <c:f>Pivots!$B$39:$B$47</c:f>
              <c:strCache>
                <c:ptCount val="8"/>
                <c:pt idx="0">
                  <c:v>2009</c:v>
                </c:pt>
                <c:pt idx="1">
                  <c:v>2010</c:v>
                </c:pt>
                <c:pt idx="2">
                  <c:v>2011</c:v>
                </c:pt>
                <c:pt idx="3">
                  <c:v>2012</c:v>
                </c:pt>
                <c:pt idx="4">
                  <c:v>2013</c:v>
                </c:pt>
                <c:pt idx="5">
                  <c:v>2014</c:v>
                </c:pt>
                <c:pt idx="6">
                  <c:v>2015</c:v>
                </c:pt>
                <c:pt idx="7">
                  <c:v>2016</c:v>
                </c:pt>
              </c:strCache>
            </c:strRef>
          </c:cat>
          <c:val>
            <c:numRef>
              <c:f>Pivots!$E$39:$E$47</c:f>
              <c:numCache>
                <c:formatCode>0.00</c:formatCode>
                <c:ptCount val="8"/>
                <c:pt idx="0">
                  <c:v>0.66223899410882148</c:v>
                </c:pt>
                <c:pt idx="1">
                  <c:v>0.97994511726307332</c:v>
                </c:pt>
                <c:pt idx="2">
                  <c:v>1.0551646530202665</c:v>
                </c:pt>
                <c:pt idx="3">
                  <c:v>1.027897936805235</c:v>
                </c:pt>
                <c:pt idx="4">
                  <c:v>0.83304358975211112</c:v>
                </c:pt>
                <c:pt idx="5">
                  <c:v>1.0754535939410961</c:v>
                </c:pt>
                <c:pt idx="6">
                  <c:v>0.60128883020554136</c:v>
                </c:pt>
                <c:pt idx="7">
                  <c:v>0.50796087330866757</c:v>
                </c:pt>
              </c:numCache>
            </c:numRef>
          </c:val>
        </c:ser>
        <c:dLbls>
          <c:showLegendKey val="0"/>
          <c:showVal val="0"/>
          <c:showCatName val="0"/>
          <c:showSerName val="0"/>
          <c:showPercent val="0"/>
          <c:showBubbleSize val="0"/>
        </c:dLbls>
        <c:gapWidth val="114"/>
        <c:overlap val="100"/>
        <c:axId val="389105600"/>
        <c:axId val="389106160"/>
      </c:barChart>
      <c:catAx>
        <c:axId val="389105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9106160"/>
        <c:crosses val="autoZero"/>
        <c:auto val="1"/>
        <c:lblAlgn val="ctr"/>
        <c:lblOffset val="100"/>
        <c:noMultiLvlLbl val="0"/>
      </c:catAx>
      <c:valAx>
        <c:axId val="3891061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9105600"/>
        <c:crosses val="autoZero"/>
        <c:crossBetween val="between"/>
      </c:valAx>
      <c:spPr>
        <a:noFill/>
        <a:ln>
          <a:noFill/>
        </a:ln>
        <a:effectLst/>
      </c:spPr>
    </c:plotArea>
    <c:legend>
      <c:legendPos val="b"/>
      <c:layout>
        <c:manualLayout>
          <c:xMode val="edge"/>
          <c:yMode val="edge"/>
          <c:x val="0"/>
          <c:y val="0.85968875102733355"/>
          <c:w val="0.99095620859892508"/>
          <c:h val="0.1403112489726663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pivotSource>
    <c:name>[CEE Upstream Matrix.xlsx]Pivots!Cost Stack with Return Equal to FD Capex ($/BCFE)</c:name>
    <c:fmtId val="1"/>
  </c:pivotSource>
  <c:chart>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2"/>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2"/>
          </a:solidFill>
          <a:ln>
            <a:noFill/>
          </a:ln>
          <a:effectLst/>
        </c:spPr>
        <c:marker>
          <c:symbol val="none"/>
        </c:marker>
      </c:pivotFmt>
      <c:pivotFmt>
        <c:idx val="13"/>
        <c:spPr>
          <a:solidFill>
            <a:schemeClr val="accent2"/>
          </a:solidFill>
          <a:ln>
            <a:noFill/>
          </a:ln>
          <a:effectLst/>
        </c:spPr>
        <c:marker>
          <c:symbol val="none"/>
        </c:marker>
      </c:pivotFmt>
      <c:pivotFmt>
        <c:idx val="14"/>
        <c:spPr>
          <a:solidFill>
            <a:schemeClr val="accent2"/>
          </a:solidFill>
          <a:ln>
            <a:noFill/>
          </a:ln>
          <a:effectLst/>
        </c:spPr>
        <c:marker>
          <c:symbol val="none"/>
        </c:marker>
      </c:pivotFmt>
    </c:pivotFmts>
    <c:plotArea>
      <c:layout>
        <c:manualLayout>
          <c:layoutTarget val="inner"/>
          <c:xMode val="edge"/>
          <c:yMode val="edge"/>
          <c:x val="0.12036019619419376"/>
          <c:y val="0.12205387205387205"/>
          <c:w val="0.82522193012987355"/>
          <c:h val="0.6349598345661337"/>
        </c:manualLayout>
      </c:layout>
      <c:barChart>
        <c:barDir val="bar"/>
        <c:grouping val="stacked"/>
        <c:varyColors val="0"/>
        <c:ser>
          <c:idx val="0"/>
          <c:order val="0"/>
          <c:tx>
            <c:strRef>
              <c:f>Pivots!$C$50</c:f>
              <c:strCache>
                <c:ptCount val="1"/>
                <c:pt idx="0">
                  <c:v>3-Year MA FD Costs</c:v>
                </c:pt>
              </c:strCache>
            </c:strRef>
          </c:tx>
          <c:spPr>
            <a:solidFill>
              <a:schemeClr val="accent2">
                <a:shade val="65000"/>
              </a:schemeClr>
            </a:solidFill>
            <a:ln>
              <a:noFill/>
            </a:ln>
            <a:effectLst/>
          </c:spPr>
          <c:invertIfNegative val="0"/>
          <c:cat>
            <c:strRef>
              <c:f>Pivots!$B$51:$B$59</c:f>
              <c:strCache>
                <c:ptCount val="8"/>
                <c:pt idx="0">
                  <c:v>2009</c:v>
                </c:pt>
                <c:pt idx="1">
                  <c:v>2010</c:v>
                </c:pt>
                <c:pt idx="2">
                  <c:v>2011</c:v>
                </c:pt>
                <c:pt idx="3">
                  <c:v>2012</c:v>
                </c:pt>
                <c:pt idx="4">
                  <c:v>2013</c:v>
                </c:pt>
                <c:pt idx="5">
                  <c:v>2014</c:v>
                </c:pt>
                <c:pt idx="6">
                  <c:v>2015</c:v>
                </c:pt>
                <c:pt idx="7">
                  <c:v>2016</c:v>
                </c:pt>
              </c:strCache>
            </c:strRef>
          </c:cat>
          <c:val>
            <c:numRef>
              <c:f>Pivots!$C$51:$C$59</c:f>
              <c:numCache>
                <c:formatCode>0.00</c:formatCode>
                <c:ptCount val="8"/>
                <c:pt idx="0">
                  <c:v>3.0265532174743881</c:v>
                </c:pt>
                <c:pt idx="1">
                  <c:v>2.7323497600097642</c:v>
                </c:pt>
                <c:pt idx="2">
                  <c:v>2.2730139346978389</c:v>
                </c:pt>
                <c:pt idx="3">
                  <c:v>3.0558163777949434</c:v>
                </c:pt>
                <c:pt idx="4">
                  <c:v>2.8708273365055059</c:v>
                </c:pt>
                <c:pt idx="5">
                  <c:v>2.7243385908647562</c:v>
                </c:pt>
                <c:pt idx="6">
                  <c:v>3.7947103983508392</c:v>
                </c:pt>
                <c:pt idx="7">
                  <c:v>4.2760831756785525</c:v>
                </c:pt>
              </c:numCache>
            </c:numRef>
          </c:val>
        </c:ser>
        <c:ser>
          <c:idx val="1"/>
          <c:order val="1"/>
          <c:tx>
            <c:strRef>
              <c:f>Pivots!$D$50</c:f>
              <c:strCache>
                <c:ptCount val="1"/>
                <c:pt idx="0">
                  <c:v>Cash Costs</c:v>
                </c:pt>
              </c:strCache>
            </c:strRef>
          </c:tx>
          <c:spPr>
            <a:solidFill>
              <a:schemeClr val="accent2"/>
            </a:solidFill>
            <a:ln>
              <a:noFill/>
            </a:ln>
            <a:effectLst/>
          </c:spPr>
          <c:invertIfNegative val="0"/>
          <c:cat>
            <c:strRef>
              <c:f>Pivots!$B$51:$B$59</c:f>
              <c:strCache>
                <c:ptCount val="8"/>
                <c:pt idx="0">
                  <c:v>2009</c:v>
                </c:pt>
                <c:pt idx="1">
                  <c:v>2010</c:v>
                </c:pt>
                <c:pt idx="2">
                  <c:v>2011</c:v>
                </c:pt>
                <c:pt idx="3">
                  <c:v>2012</c:v>
                </c:pt>
                <c:pt idx="4">
                  <c:v>2013</c:v>
                </c:pt>
                <c:pt idx="5">
                  <c:v>2014</c:v>
                </c:pt>
                <c:pt idx="6">
                  <c:v>2015</c:v>
                </c:pt>
                <c:pt idx="7">
                  <c:v>2016</c:v>
                </c:pt>
              </c:strCache>
            </c:strRef>
          </c:cat>
          <c:val>
            <c:numRef>
              <c:f>Pivots!$D$51:$D$59</c:f>
              <c:numCache>
                <c:formatCode>0.00</c:formatCode>
                <c:ptCount val="8"/>
                <c:pt idx="0">
                  <c:v>3.0675118325421487</c:v>
                </c:pt>
                <c:pt idx="1">
                  <c:v>3.2926654536547169</c:v>
                </c:pt>
                <c:pt idx="2">
                  <c:v>3.8989958627566725</c:v>
                </c:pt>
                <c:pt idx="3">
                  <c:v>3.6511882387601315</c:v>
                </c:pt>
                <c:pt idx="4">
                  <c:v>3.4894867938907788</c:v>
                </c:pt>
                <c:pt idx="5">
                  <c:v>3.4585413650448174</c:v>
                </c:pt>
                <c:pt idx="6">
                  <c:v>2.5977944554904604</c:v>
                </c:pt>
                <c:pt idx="7">
                  <c:v>2.262672149570732</c:v>
                </c:pt>
              </c:numCache>
            </c:numRef>
          </c:val>
        </c:ser>
        <c:ser>
          <c:idx val="2"/>
          <c:order val="2"/>
          <c:tx>
            <c:strRef>
              <c:f>Pivots!$E$50</c:f>
              <c:strCache>
                <c:ptCount val="1"/>
                <c:pt idx="0">
                  <c:v>FD Return</c:v>
                </c:pt>
              </c:strCache>
            </c:strRef>
          </c:tx>
          <c:spPr>
            <a:solidFill>
              <a:schemeClr val="accent2">
                <a:tint val="65000"/>
              </a:schemeClr>
            </a:solidFill>
            <a:ln>
              <a:noFill/>
            </a:ln>
            <a:effectLst/>
          </c:spPr>
          <c:invertIfNegative val="0"/>
          <c:cat>
            <c:strRef>
              <c:f>Pivots!$B$51:$B$59</c:f>
              <c:strCache>
                <c:ptCount val="8"/>
                <c:pt idx="0">
                  <c:v>2009</c:v>
                </c:pt>
                <c:pt idx="1">
                  <c:v>2010</c:v>
                </c:pt>
                <c:pt idx="2">
                  <c:v>2011</c:v>
                </c:pt>
                <c:pt idx="3">
                  <c:v>2012</c:v>
                </c:pt>
                <c:pt idx="4">
                  <c:v>2013</c:v>
                </c:pt>
                <c:pt idx="5">
                  <c:v>2014</c:v>
                </c:pt>
                <c:pt idx="6">
                  <c:v>2015</c:v>
                </c:pt>
                <c:pt idx="7">
                  <c:v>2016</c:v>
                </c:pt>
              </c:strCache>
            </c:strRef>
          </c:cat>
          <c:val>
            <c:numRef>
              <c:f>Pivots!$E$51:$E$59</c:f>
              <c:numCache>
                <c:formatCode>0.00</c:formatCode>
                <c:ptCount val="8"/>
                <c:pt idx="0">
                  <c:v>3.5548781085460668</c:v>
                </c:pt>
                <c:pt idx="1">
                  <c:v>6.5067857189760145</c:v>
                </c:pt>
                <c:pt idx="2">
                  <c:v>6.6526506674459931</c:v>
                </c:pt>
                <c:pt idx="3">
                  <c:v>6.6277911292922163</c:v>
                </c:pt>
                <c:pt idx="4">
                  <c:v>4.8409491036303303</c:v>
                </c:pt>
                <c:pt idx="5">
                  <c:v>7.2959945743661434</c:v>
                </c:pt>
                <c:pt idx="6">
                  <c:v>3.4150938465649525</c:v>
                </c:pt>
                <c:pt idx="7">
                  <c:v>2.8169365835159446</c:v>
                </c:pt>
              </c:numCache>
            </c:numRef>
          </c:val>
        </c:ser>
        <c:dLbls>
          <c:showLegendKey val="0"/>
          <c:showVal val="0"/>
          <c:showCatName val="0"/>
          <c:showSerName val="0"/>
          <c:showPercent val="0"/>
          <c:showBubbleSize val="0"/>
        </c:dLbls>
        <c:gapWidth val="114"/>
        <c:overlap val="100"/>
        <c:axId val="395578096"/>
        <c:axId val="395578656"/>
      </c:barChart>
      <c:catAx>
        <c:axId val="395578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5578656"/>
        <c:crosses val="autoZero"/>
        <c:auto val="1"/>
        <c:lblAlgn val="ctr"/>
        <c:lblOffset val="100"/>
        <c:noMultiLvlLbl val="0"/>
      </c:catAx>
      <c:valAx>
        <c:axId val="3955786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5578096"/>
        <c:crosses val="autoZero"/>
        <c:crossBetween val="between"/>
      </c:valAx>
      <c:spPr>
        <a:noFill/>
        <a:ln>
          <a:noFill/>
        </a:ln>
        <a:effectLst/>
      </c:spPr>
    </c:plotArea>
    <c:legend>
      <c:legendPos val="b"/>
      <c:layout>
        <c:manualLayout>
          <c:xMode val="edge"/>
          <c:yMode val="edge"/>
          <c:x val="0"/>
          <c:y val="0.85968875102733355"/>
          <c:w val="0.99095620859892508"/>
          <c:h val="0.1403112489726663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Matrix.xlsx]Pivots!3-Year MA Additions &amp; FD Capex</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lumMod val="60000"/>
              <a:lumOff val="40000"/>
            </a:schemeClr>
          </a:solidFill>
          <a:ln>
            <a:noFill/>
          </a:ln>
          <a:effectLst/>
        </c:spPr>
        <c:marker>
          <c:symbol val="none"/>
        </c:marker>
      </c:pivotFmt>
      <c:pivotFmt>
        <c:idx val="3"/>
        <c:spPr>
          <a:ln w="28575" cap="rnd">
            <a:solidFill>
              <a:schemeClr val="tx1">
                <a:lumMod val="50000"/>
                <a:lumOff val="50000"/>
              </a:schemeClr>
            </a:solidFill>
            <a:round/>
          </a:ln>
          <a:effectLst/>
        </c:spPr>
        <c:marker>
          <c:symbol val="none"/>
        </c:marker>
      </c:pivotFmt>
    </c:pivotFmts>
    <c:plotArea>
      <c:layout>
        <c:manualLayout>
          <c:layoutTarget val="inner"/>
          <c:xMode val="edge"/>
          <c:yMode val="edge"/>
          <c:x val="0.17781136732908387"/>
          <c:y val="0.15380875685993797"/>
          <c:w val="0.66150266372953392"/>
          <c:h val="0.53131511970094647"/>
        </c:manualLayout>
      </c:layout>
      <c:barChart>
        <c:barDir val="col"/>
        <c:grouping val="clustered"/>
        <c:varyColors val="0"/>
        <c:ser>
          <c:idx val="0"/>
          <c:order val="0"/>
          <c:tx>
            <c:strRef>
              <c:f>Pivots!$C$62</c:f>
              <c:strCache>
                <c:ptCount val="1"/>
                <c:pt idx="0">
                  <c:v>3-Year MA Reserve Additions (L)</c:v>
                </c:pt>
              </c:strCache>
            </c:strRef>
          </c:tx>
          <c:spPr>
            <a:solidFill>
              <a:schemeClr val="accent1">
                <a:lumMod val="60000"/>
                <a:lumOff val="40000"/>
              </a:schemeClr>
            </a:solidFill>
            <a:ln>
              <a:noFill/>
            </a:ln>
            <a:effectLst/>
          </c:spPr>
          <c:invertIfNegative val="0"/>
          <c:cat>
            <c:strRef>
              <c:f>Pivots!$B$63:$B$71</c:f>
              <c:strCache>
                <c:ptCount val="8"/>
                <c:pt idx="0">
                  <c:v>2009</c:v>
                </c:pt>
                <c:pt idx="1">
                  <c:v>2010</c:v>
                </c:pt>
                <c:pt idx="2">
                  <c:v>2011</c:v>
                </c:pt>
                <c:pt idx="3">
                  <c:v>2012</c:v>
                </c:pt>
                <c:pt idx="4">
                  <c:v>2013</c:v>
                </c:pt>
                <c:pt idx="5">
                  <c:v>2014</c:v>
                </c:pt>
                <c:pt idx="6">
                  <c:v>2015</c:v>
                </c:pt>
                <c:pt idx="7">
                  <c:v>2016</c:v>
                </c:pt>
              </c:strCache>
            </c:strRef>
          </c:cat>
          <c:val>
            <c:numRef>
              <c:f>Pivots!$C$63:$C$71</c:f>
              <c:numCache>
                <c:formatCode>_(* #,##0_);_(* \(#,##0\);_(* "-"??_);_(@_)</c:formatCode>
                <c:ptCount val="8"/>
                <c:pt idx="0">
                  <c:v>2422.5626666666667</c:v>
                </c:pt>
                <c:pt idx="1">
                  <c:v>3069.6387777777782</c:v>
                </c:pt>
                <c:pt idx="2">
                  <c:v>3861.1450000000004</c:v>
                </c:pt>
                <c:pt idx="3">
                  <c:v>3657.4032222222218</c:v>
                </c:pt>
                <c:pt idx="4">
                  <c:v>3863.9255555555555</c:v>
                </c:pt>
                <c:pt idx="5">
                  <c:v>4654.0994444444432</c:v>
                </c:pt>
                <c:pt idx="6">
                  <c:v>2921.3500000000004</c:v>
                </c:pt>
                <c:pt idx="7">
                  <c:v>2267.7889999999998</c:v>
                </c:pt>
              </c:numCache>
            </c:numRef>
          </c:val>
        </c:ser>
        <c:dLbls>
          <c:showLegendKey val="0"/>
          <c:showVal val="0"/>
          <c:showCatName val="0"/>
          <c:showSerName val="0"/>
          <c:showPercent val="0"/>
          <c:showBubbleSize val="0"/>
        </c:dLbls>
        <c:gapWidth val="186"/>
        <c:axId val="395658080"/>
        <c:axId val="395658640"/>
      </c:barChart>
      <c:lineChart>
        <c:grouping val="standard"/>
        <c:varyColors val="0"/>
        <c:ser>
          <c:idx val="1"/>
          <c:order val="1"/>
          <c:tx>
            <c:strRef>
              <c:f>Pivots!$D$62</c:f>
              <c:strCache>
                <c:ptCount val="1"/>
                <c:pt idx="0">
                  <c:v>3-Year MA FD Capex (R)</c:v>
                </c:pt>
              </c:strCache>
            </c:strRef>
          </c:tx>
          <c:spPr>
            <a:ln w="28575" cap="rnd">
              <a:solidFill>
                <a:schemeClr val="tx1">
                  <a:lumMod val="50000"/>
                  <a:lumOff val="50000"/>
                </a:schemeClr>
              </a:solidFill>
              <a:round/>
            </a:ln>
            <a:effectLst/>
          </c:spPr>
          <c:marker>
            <c:symbol val="none"/>
          </c:marker>
          <c:cat>
            <c:strRef>
              <c:f>Pivots!$B$63:$B$71</c:f>
              <c:strCache>
                <c:ptCount val="8"/>
                <c:pt idx="0">
                  <c:v>2009</c:v>
                </c:pt>
                <c:pt idx="1">
                  <c:v>2010</c:v>
                </c:pt>
                <c:pt idx="2">
                  <c:v>2011</c:v>
                </c:pt>
                <c:pt idx="3">
                  <c:v>2012</c:v>
                </c:pt>
                <c:pt idx="4">
                  <c:v>2013</c:v>
                </c:pt>
                <c:pt idx="5">
                  <c:v>2014</c:v>
                </c:pt>
                <c:pt idx="6">
                  <c:v>2015</c:v>
                </c:pt>
                <c:pt idx="7">
                  <c:v>2016</c:v>
                </c:pt>
              </c:strCache>
            </c:strRef>
          </c:cat>
          <c:val>
            <c:numRef>
              <c:f>Pivots!$D$63:$D$71</c:f>
              <c:numCache>
                <c:formatCode>_(* #,##0_);_(* \(#,##0\);_(* "-"??_);_(@_)</c:formatCode>
                <c:ptCount val="8"/>
                <c:pt idx="0">
                  <c:v>43992.089</c:v>
                </c:pt>
                <c:pt idx="1">
                  <c:v>50323.960666666659</c:v>
                </c:pt>
                <c:pt idx="2">
                  <c:v>52658.618333333339</c:v>
                </c:pt>
                <c:pt idx="3">
                  <c:v>67058.115999999995</c:v>
                </c:pt>
                <c:pt idx="4">
                  <c:v>66555.978666666662</c:v>
                </c:pt>
                <c:pt idx="5">
                  <c:v>76076.056333333327</c:v>
                </c:pt>
                <c:pt idx="6">
                  <c:v>66514.063333333339</c:v>
                </c:pt>
                <c:pt idx="7">
                  <c:v>58183.526333333335</c:v>
                </c:pt>
              </c:numCache>
            </c:numRef>
          </c:val>
          <c:smooth val="0"/>
        </c:ser>
        <c:dLbls>
          <c:showLegendKey val="0"/>
          <c:showVal val="0"/>
          <c:showCatName val="0"/>
          <c:showSerName val="0"/>
          <c:showPercent val="0"/>
          <c:showBubbleSize val="0"/>
        </c:dLbls>
        <c:marker val="1"/>
        <c:smooth val="0"/>
        <c:axId val="395659760"/>
        <c:axId val="395659200"/>
      </c:lineChart>
      <c:catAx>
        <c:axId val="39565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5658640"/>
        <c:crosses val="autoZero"/>
        <c:auto val="1"/>
        <c:lblAlgn val="ctr"/>
        <c:lblOffset val="100"/>
        <c:noMultiLvlLbl val="0"/>
      </c:catAx>
      <c:valAx>
        <c:axId val="395658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5658080"/>
        <c:crosses val="autoZero"/>
        <c:crossBetween val="between"/>
      </c:valAx>
      <c:valAx>
        <c:axId val="395659200"/>
        <c:scaling>
          <c:orientation val="minMax"/>
        </c:scaling>
        <c:delete val="0"/>
        <c:axPos val="r"/>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Billions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5659760"/>
        <c:crosses val="max"/>
        <c:crossBetween val="between"/>
        <c:dispUnits>
          <c:builtInUnit val="thousands"/>
        </c:dispUnits>
      </c:valAx>
      <c:catAx>
        <c:axId val="395659760"/>
        <c:scaling>
          <c:orientation val="minMax"/>
        </c:scaling>
        <c:delete val="1"/>
        <c:axPos val="b"/>
        <c:numFmt formatCode="General" sourceLinked="1"/>
        <c:majorTickMark val="out"/>
        <c:minorTickMark val="none"/>
        <c:tickLblPos val="nextTo"/>
        <c:crossAx val="395659200"/>
        <c:crosses val="autoZero"/>
        <c:auto val="1"/>
        <c:lblAlgn val="ctr"/>
        <c:lblOffset val="100"/>
        <c:noMultiLvlLbl val="0"/>
      </c:catAx>
      <c:spPr>
        <a:noFill/>
        <a:ln>
          <a:noFill/>
        </a:ln>
        <a:effectLst/>
      </c:spPr>
    </c:plotArea>
    <c:legend>
      <c:legendPos val="b"/>
      <c:layout>
        <c:manualLayout>
          <c:xMode val="edge"/>
          <c:yMode val="edge"/>
          <c:x val="0.18059773778277713"/>
          <c:y val="0.85127124260982512"/>
          <c:w val="0.63880432914635665"/>
          <c:h val="0.144520003181420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Matrix.xlsx]Pivots!PivotTable17</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tx2"/>
          </a:solidFill>
          <a:ln>
            <a:noFill/>
          </a:ln>
          <a:effectLst/>
        </c:spPr>
        <c:marker>
          <c:symbol val="none"/>
        </c:marker>
      </c:pivotFmt>
      <c:pivotFmt>
        <c:idx val="6"/>
        <c:spPr>
          <a:solidFill>
            <a:schemeClr val="tx2">
              <a:lumMod val="60000"/>
              <a:lumOff val="40000"/>
            </a:schemeClr>
          </a:solidFill>
          <a:ln>
            <a:noFill/>
          </a:ln>
          <a:effectLst/>
        </c:spPr>
        <c:marker>
          <c:symbol val="none"/>
        </c:marker>
      </c:pivotFmt>
      <c:pivotFmt>
        <c:idx val="7"/>
        <c:spPr>
          <a:solidFill>
            <a:schemeClr val="accent1">
              <a:lumMod val="60000"/>
              <a:lumOff val="40000"/>
            </a:schemeClr>
          </a:solidFill>
          <a:ln>
            <a:noFill/>
          </a:ln>
          <a:effectLst/>
        </c:spPr>
        <c:marker>
          <c:symbol val="none"/>
        </c:marker>
      </c:pivotFmt>
      <c:pivotFmt>
        <c:idx val="8"/>
        <c:spPr>
          <a:solidFill>
            <a:schemeClr val="accent1">
              <a:lumMod val="20000"/>
              <a:lumOff val="80000"/>
            </a:schemeClr>
          </a:solidFill>
          <a:ln>
            <a:noFill/>
          </a:ln>
          <a:effectLst/>
        </c:spPr>
        <c:marker>
          <c:symbol val="none"/>
        </c:marker>
      </c:pivotFmt>
      <c:pivotFmt>
        <c:idx val="9"/>
        <c:spPr>
          <a:ln w="28575" cap="rnd">
            <a:noFill/>
            <a:round/>
          </a:ln>
          <a:effectLst/>
        </c:spPr>
        <c:marker>
          <c:symbol val="none"/>
        </c:marker>
      </c:pivotFmt>
    </c:pivotFmts>
    <c:plotArea>
      <c:layout>
        <c:manualLayout>
          <c:layoutTarget val="inner"/>
          <c:xMode val="edge"/>
          <c:yMode val="edge"/>
          <c:x val="0.15176950537432821"/>
          <c:y val="0.14960000265118378"/>
          <c:w val="0.46529398668916383"/>
          <c:h val="0.65777890453087307"/>
        </c:manualLayout>
      </c:layout>
      <c:barChart>
        <c:barDir val="col"/>
        <c:grouping val="stacked"/>
        <c:varyColors val="0"/>
        <c:ser>
          <c:idx val="0"/>
          <c:order val="0"/>
          <c:tx>
            <c:strRef>
              <c:f>Pivots!$C$74</c:f>
              <c:strCache>
                <c:ptCount val="1"/>
                <c:pt idx="0">
                  <c:v>US Unproved Property Acquisitions</c:v>
                </c:pt>
              </c:strCache>
            </c:strRef>
          </c:tx>
          <c:spPr>
            <a:solidFill>
              <a:schemeClr val="tx2"/>
            </a:solidFill>
            <a:ln>
              <a:noFill/>
            </a:ln>
            <a:effectLst/>
          </c:spPr>
          <c:invertIfNegative val="0"/>
          <c:cat>
            <c:strRef>
              <c:f>Pivots!$B$75:$B$83</c:f>
              <c:strCache>
                <c:ptCount val="8"/>
                <c:pt idx="0">
                  <c:v>2009</c:v>
                </c:pt>
                <c:pt idx="1">
                  <c:v>2010</c:v>
                </c:pt>
                <c:pt idx="2">
                  <c:v>2011</c:v>
                </c:pt>
                <c:pt idx="3">
                  <c:v>2012</c:v>
                </c:pt>
                <c:pt idx="4">
                  <c:v>2013</c:v>
                </c:pt>
                <c:pt idx="5">
                  <c:v>2014</c:v>
                </c:pt>
                <c:pt idx="6">
                  <c:v>2015</c:v>
                </c:pt>
                <c:pt idx="7">
                  <c:v>2016</c:v>
                </c:pt>
              </c:strCache>
            </c:strRef>
          </c:cat>
          <c:val>
            <c:numRef>
              <c:f>Pivots!$C$75:$C$83</c:f>
              <c:numCache>
                <c:formatCode>_(* #,##0_);_(* \(#,##0\);_(* "-"??_);_(@_)</c:formatCode>
                <c:ptCount val="8"/>
                <c:pt idx="0">
                  <c:v>4975.1490000000003</c:v>
                </c:pt>
                <c:pt idx="1">
                  <c:v>17275.620999999999</c:v>
                </c:pt>
                <c:pt idx="2">
                  <c:v>14036.453</c:v>
                </c:pt>
                <c:pt idx="3">
                  <c:v>11950.448</c:v>
                </c:pt>
                <c:pt idx="4">
                  <c:v>3942.2129999999997</c:v>
                </c:pt>
                <c:pt idx="5">
                  <c:v>16351.496000000001</c:v>
                </c:pt>
                <c:pt idx="6">
                  <c:v>3305.6290000000004</c:v>
                </c:pt>
                <c:pt idx="7">
                  <c:v>9189.8279999999995</c:v>
                </c:pt>
              </c:numCache>
            </c:numRef>
          </c:val>
        </c:ser>
        <c:ser>
          <c:idx val="1"/>
          <c:order val="1"/>
          <c:tx>
            <c:strRef>
              <c:f>Pivots!$D$74</c:f>
              <c:strCache>
                <c:ptCount val="1"/>
                <c:pt idx="0">
                  <c:v>US Proved Property Acquisitions</c:v>
                </c:pt>
              </c:strCache>
            </c:strRef>
          </c:tx>
          <c:spPr>
            <a:solidFill>
              <a:schemeClr val="tx2">
                <a:lumMod val="60000"/>
                <a:lumOff val="40000"/>
              </a:schemeClr>
            </a:solidFill>
            <a:ln>
              <a:noFill/>
            </a:ln>
            <a:effectLst/>
          </c:spPr>
          <c:invertIfNegative val="0"/>
          <c:cat>
            <c:strRef>
              <c:f>Pivots!$B$75:$B$83</c:f>
              <c:strCache>
                <c:ptCount val="8"/>
                <c:pt idx="0">
                  <c:v>2009</c:v>
                </c:pt>
                <c:pt idx="1">
                  <c:v>2010</c:v>
                </c:pt>
                <c:pt idx="2">
                  <c:v>2011</c:v>
                </c:pt>
                <c:pt idx="3">
                  <c:v>2012</c:v>
                </c:pt>
                <c:pt idx="4">
                  <c:v>2013</c:v>
                </c:pt>
                <c:pt idx="5">
                  <c:v>2014</c:v>
                </c:pt>
                <c:pt idx="6">
                  <c:v>2015</c:v>
                </c:pt>
                <c:pt idx="7">
                  <c:v>2016</c:v>
                </c:pt>
              </c:strCache>
            </c:strRef>
          </c:cat>
          <c:val>
            <c:numRef>
              <c:f>Pivots!$D$75:$D$83</c:f>
              <c:numCache>
                <c:formatCode>_(* #,##0_);_(* \(#,##0\);_(* "-"??_);_(@_)</c:formatCode>
                <c:ptCount val="8"/>
                <c:pt idx="0">
                  <c:v>1447.444</c:v>
                </c:pt>
                <c:pt idx="1">
                  <c:v>9931.5540000000001</c:v>
                </c:pt>
                <c:pt idx="2">
                  <c:v>5725.7740000000003</c:v>
                </c:pt>
                <c:pt idx="3">
                  <c:v>5150.9279999999999</c:v>
                </c:pt>
                <c:pt idx="4">
                  <c:v>986.75599999999997</c:v>
                </c:pt>
                <c:pt idx="5">
                  <c:v>13319.788</c:v>
                </c:pt>
                <c:pt idx="6">
                  <c:v>977.67599999999993</c:v>
                </c:pt>
                <c:pt idx="7">
                  <c:v>6234.8859999999995</c:v>
                </c:pt>
              </c:numCache>
            </c:numRef>
          </c:val>
        </c:ser>
        <c:ser>
          <c:idx val="2"/>
          <c:order val="2"/>
          <c:tx>
            <c:strRef>
              <c:f>Pivots!$E$74</c:f>
              <c:strCache>
                <c:ptCount val="1"/>
                <c:pt idx="0">
                  <c:v>US Exploration Costs</c:v>
                </c:pt>
              </c:strCache>
            </c:strRef>
          </c:tx>
          <c:spPr>
            <a:solidFill>
              <a:schemeClr val="accent1">
                <a:lumMod val="60000"/>
                <a:lumOff val="40000"/>
              </a:schemeClr>
            </a:solidFill>
            <a:ln>
              <a:noFill/>
            </a:ln>
            <a:effectLst/>
          </c:spPr>
          <c:invertIfNegative val="0"/>
          <c:cat>
            <c:strRef>
              <c:f>Pivots!$B$75:$B$83</c:f>
              <c:strCache>
                <c:ptCount val="8"/>
                <c:pt idx="0">
                  <c:v>2009</c:v>
                </c:pt>
                <c:pt idx="1">
                  <c:v>2010</c:v>
                </c:pt>
                <c:pt idx="2">
                  <c:v>2011</c:v>
                </c:pt>
                <c:pt idx="3">
                  <c:v>2012</c:v>
                </c:pt>
                <c:pt idx="4">
                  <c:v>2013</c:v>
                </c:pt>
                <c:pt idx="5">
                  <c:v>2014</c:v>
                </c:pt>
                <c:pt idx="6">
                  <c:v>2015</c:v>
                </c:pt>
                <c:pt idx="7">
                  <c:v>2016</c:v>
                </c:pt>
              </c:strCache>
            </c:strRef>
          </c:cat>
          <c:val>
            <c:numRef>
              <c:f>Pivots!$E$75:$E$83</c:f>
              <c:numCache>
                <c:formatCode>_(* #,##0_);_(* \(#,##0\);_(* "-"??_);_(@_)</c:formatCode>
                <c:ptCount val="8"/>
                <c:pt idx="0">
                  <c:v>4539.46</c:v>
                </c:pt>
                <c:pt idx="1">
                  <c:v>5320.5029999999997</c:v>
                </c:pt>
                <c:pt idx="2">
                  <c:v>8761.6169999999984</c:v>
                </c:pt>
                <c:pt idx="3">
                  <c:v>11753.657999999999</c:v>
                </c:pt>
                <c:pt idx="4">
                  <c:v>9426.509</c:v>
                </c:pt>
                <c:pt idx="5">
                  <c:v>10610.536999999998</c:v>
                </c:pt>
                <c:pt idx="6">
                  <c:v>7500.7180000000008</c:v>
                </c:pt>
                <c:pt idx="7">
                  <c:v>5193.5280000000002</c:v>
                </c:pt>
              </c:numCache>
            </c:numRef>
          </c:val>
        </c:ser>
        <c:ser>
          <c:idx val="3"/>
          <c:order val="3"/>
          <c:tx>
            <c:strRef>
              <c:f>Pivots!$F$74</c:f>
              <c:strCache>
                <c:ptCount val="1"/>
                <c:pt idx="0">
                  <c:v>US Development Costs</c:v>
                </c:pt>
              </c:strCache>
            </c:strRef>
          </c:tx>
          <c:spPr>
            <a:solidFill>
              <a:schemeClr val="accent1">
                <a:lumMod val="20000"/>
                <a:lumOff val="80000"/>
              </a:schemeClr>
            </a:solidFill>
            <a:ln>
              <a:noFill/>
            </a:ln>
            <a:effectLst/>
          </c:spPr>
          <c:invertIfNegative val="0"/>
          <c:cat>
            <c:strRef>
              <c:f>Pivots!$B$75:$B$83</c:f>
              <c:strCache>
                <c:ptCount val="8"/>
                <c:pt idx="0">
                  <c:v>2009</c:v>
                </c:pt>
                <c:pt idx="1">
                  <c:v>2010</c:v>
                </c:pt>
                <c:pt idx="2">
                  <c:v>2011</c:v>
                </c:pt>
                <c:pt idx="3">
                  <c:v>2012</c:v>
                </c:pt>
                <c:pt idx="4">
                  <c:v>2013</c:v>
                </c:pt>
                <c:pt idx="5">
                  <c:v>2014</c:v>
                </c:pt>
                <c:pt idx="6">
                  <c:v>2015</c:v>
                </c:pt>
                <c:pt idx="7">
                  <c:v>2016</c:v>
                </c:pt>
              </c:strCache>
            </c:strRef>
          </c:cat>
          <c:val>
            <c:numRef>
              <c:f>Pivots!$F$75:$F$83</c:f>
              <c:numCache>
                <c:formatCode>_(* #,##0_);_(* \(#,##0\);_(* "-"??_);_(@_)</c:formatCode>
                <c:ptCount val="8"/>
                <c:pt idx="0">
                  <c:v>20228.867000000002</c:v>
                </c:pt>
                <c:pt idx="1">
                  <c:v>27422.858999999997</c:v>
                </c:pt>
                <c:pt idx="2">
                  <c:v>38310.554000000004</c:v>
                </c:pt>
                <c:pt idx="3">
                  <c:v>45534.379000000001</c:v>
                </c:pt>
                <c:pt idx="4">
                  <c:v>44088.647000000004</c:v>
                </c:pt>
                <c:pt idx="5">
                  <c:v>53171.304000000004</c:v>
                </c:pt>
                <c:pt idx="6">
                  <c:v>33956.074000000001</c:v>
                </c:pt>
                <c:pt idx="7">
                  <c:v>14739.115000000002</c:v>
                </c:pt>
              </c:numCache>
            </c:numRef>
          </c:val>
        </c:ser>
        <c:dLbls>
          <c:showLegendKey val="0"/>
          <c:showVal val="0"/>
          <c:showCatName val="0"/>
          <c:showSerName val="0"/>
          <c:showPercent val="0"/>
          <c:showBubbleSize val="0"/>
        </c:dLbls>
        <c:gapWidth val="219"/>
        <c:overlap val="100"/>
        <c:axId val="396200752"/>
        <c:axId val="396201312"/>
      </c:barChart>
      <c:lineChart>
        <c:grouping val="standard"/>
        <c:varyColors val="0"/>
        <c:ser>
          <c:idx val="4"/>
          <c:order val="4"/>
          <c:tx>
            <c:strRef>
              <c:f>Pivots!$G$74</c:f>
              <c:strCache>
                <c:ptCount val="1"/>
                <c:pt idx="0">
                  <c:v>Sum of US Total Capital ($MM)</c:v>
                </c:pt>
              </c:strCache>
            </c:strRef>
          </c:tx>
          <c:spPr>
            <a:ln w="28575" cap="rnd">
              <a:noFill/>
              <a:round/>
            </a:ln>
            <a:effectLst/>
          </c:spPr>
          <c:marker>
            <c:symbol val="none"/>
          </c:marker>
          <c:cat>
            <c:strRef>
              <c:f>Pivots!$B$75:$B$83</c:f>
              <c:strCache>
                <c:ptCount val="8"/>
                <c:pt idx="0">
                  <c:v>2009</c:v>
                </c:pt>
                <c:pt idx="1">
                  <c:v>2010</c:v>
                </c:pt>
                <c:pt idx="2">
                  <c:v>2011</c:v>
                </c:pt>
                <c:pt idx="3">
                  <c:v>2012</c:v>
                </c:pt>
                <c:pt idx="4">
                  <c:v>2013</c:v>
                </c:pt>
                <c:pt idx="5">
                  <c:v>2014</c:v>
                </c:pt>
                <c:pt idx="6">
                  <c:v>2015</c:v>
                </c:pt>
                <c:pt idx="7">
                  <c:v>2016</c:v>
                </c:pt>
              </c:strCache>
            </c:strRef>
          </c:cat>
          <c:val>
            <c:numRef>
              <c:f>Pivots!$G$75:$G$83</c:f>
              <c:numCache>
                <c:formatCode>_(* #,##0_);_(* \(#,##0\);_(* "-"??_);_(@_)</c:formatCode>
                <c:ptCount val="8"/>
                <c:pt idx="0">
                  <c:v>31190.92</c:v>
                </c:pt>
                <c:pt idx="1">
                  <c:v>59950.536999999997</c:v>
                </c:pt>
                <c:pt idx="2">
                  <c:v>66834.398000000001</c:v>
                </c:pt>
                <c:pt idx="3">
                  <c:v>74389.413</c:v>
                </c:pt>
                <c:pt idx="4">
                  <c:v>58444.125</c:v>
                </c:pt>
                <c:pt idx="5">
                  <c:v>93453.125</c:v>
                </c:pt>
                <c:pt idx="6">
                  <c:v>45740.097000000002</c:v>
                </c:pt>
                <c:pt idx="7">
                  <c:v>35357.357000000004</c:v>
                </c:pt>
              </c:numCache>
            </c:numRef>
          </c:val>
          <c:smooth val="0"/>
        </c:ser>
        <c:dLbls>
          <c:showLegendKey val="0"/>
          <c:showVal val="0"/>
          <c:showCatName val="0"/>
          <c:showSerName val="0"/>
          <c:showPercent val="0"/>
          <c:showBubbleSize val="0"/>
        </c:dLbls>
        <c:marker val="1"/>
        <c:smooth val="0"/>
        <c:axId val="396202432"/>
        <c:axId val="396201872"/>
      </c:lineChart>
      <c:catAx>
        <c:axId val="396200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88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6201312"/>
        <c:crosses val="autoZero"/>
        <c:auto val="1"/>
        <c:lblAlgn val="ctr"/>
        <c:lblOffset val="100"/>
        <c:noMultiLvlLbl val="0"/>
      </c:catAx>
      <c:valAx>
        <c:axId val="396201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Billions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6200752"/>
        <c:crosses val="autoZero"/>
        <c:crossBetween val="between"/>
        <c:dispUnits>
          <c:builtInUnit val="thousands"/>
        </c:dispUnits>
      </c:valAx>
      <c:valAx>
        <c:axId val="396201872"/>
        <c:scaling>
          <c:orientation val="minMax"/>
        </c:scaling>
        <c:delete val="1"/>
        <c:axPos val="r"/>
        <c:numFmt formatCode="_(* #,##0_);_(* \(#,##0\);_(* &quot;-&quot;??_);_(@_)" sourceLinked="1"/>
        <c:majorTickMark val="out"/>
        <c:minorTickMark val="none"/>
        <c:tickLblPos val="nextTo"/>
        <c:crossAx val="396202432"/>
        <c:crosses val="max"/>
        <c:crossBetween val="between"/>
        <c:dispUnits>
          <c:builtInUnit val="thousands"/>
        </c:dispUnits>
      </c:valAx>
      <c:catAx>
        <c:axId val="396202432"/>
        <c:scaling>
          <c:orientation val="minMax"/>
        </c:scaling>
        <c:delete val="1"/>
        <c:axPos val="b"/>
        <c:numFmt formatCode="General" sourceLinked="1"/>
        <c:majorTickMark val="out"/>
        <c:minorTickMark val="none"/>
        <c:tickLblPos val="nextTo"/>
        <c:crossAx val="396201872"/>
        <c:crosses val="autoZero"/>
        <c:auto val="1"/>
        <c:lblAlgn val="ctr"/>
        <c:lblOffset val="100"/>
        <c:noMultiLvlLbl val="0"/>
      </c:catAx>
      <c:spPr>
        <a:noFill/>
        <a:ln>
          <a:noFill/>
        </a:ln>
        <a:effectLst/>
      </c:spPr>
    </c:plotArea>
    <c:legend>
      <c:legendPos val="r"/>
      <c:legendEntry>
        <c:idx val="4"/>
        <c:delete val="1"/>
      </c:legendEntry>
      <c:layout>
        <c:manualLayout>
          <c:xMode val="edge"/>
          <c:yMode val="edge"/>
          <c:x val="0.64434523809523814"/>
          <c:y val="0.19219093825393038"/>
          <c:w val="0.34077380952380953"/>
          <c:h val="0.80501173148810945"/>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Upstream Matrix.xlsx]Pivots!PivotTable19</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tx2"/>
          </a:solidFill>
          <a:ln>
            <a:noFill/>
          </a:ln>
          <a:effectLst/>
        </c:spPr>
        <c:marker>
          <c:symbol val="none"/>
        </c:marker>
      </c:pivotFmt>
      <c:pivotFmt>
        <c:idx val="6"/>
        <c:spPr>
          <a:solidFill>
            <a:schemeClr val="tx2">
              <a:lumMod val="60000"/>
              <a:lumOff val="40000"/>
            </a:schemeClr>
          </a:solidFill>
          <a:ln>
            <a:noFill/>
          </a:ln>
          <a:effectLst/>
        </c:spPr>
        <c:marker>
          <c:symbol val="none"/>
        </c:marker>
      </c:pivotFmt>
      <c:pivotFmt>
        <c:idx val="7"/>
        <c:spPr>
          <a:solidFill>
            <a:schemeClr val="accent2">
              <a:lumMod val="75000"/>
            </a:schemeClr>
          </a:solidFill>
          <a:ln>
            <a:noFill/>
          </a:ln>
          <a:effectLst/>
        </c:spPr>
        <c:marker>
          <c:symbol val="none"/>
        </c:marker>
      </c:pivotFmt>
      <c:pivotFmt>
        <c:idx val="8"/>
        <c:spPr>
          <a:solidFill>
            <a:schemeClr val="bg1">
              <a:lumMod val="65000"/>
            </a:schemeClr>
          </a:solidFill>
          <a:ln>
            <a:noFill/>
          </a:ln>
          <a:effectLst/>
        </c:spPr>
        <c:marker>
          <c:symbol val="none"/>
        </c:marker>
      </c:pivotFmt>
      <c:pivotFmt>
        <c:idx val="9"/>
        <c:spPr>
          <a:solidFill>
            <a:srgbClr val="E8D43C"/>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tx2"/>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ln w="28575" cap="rnd">
            <a:noFill/>
            <a:round/>
          </a:ln>
          <a:effectLst/>
        </c:spPr>
        <c:marker>
          <c:symbol val="none"/>
        </c:marker>
        <c:dLbl>
          <c:idx val="0"/>
          <c:layout/>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1906851487314085"/>
          <c:y val="0.17761837535459588"/>
          <c:w val="0.86919154636920382"/>
          <c:h val="0.5094156791007185"/>
        </c:manualLayout>
      </c:layout>
      <c:barChart>
        <c:barDir val="col"/>
        <c:grouping val="stacked"/>
        <c:varyColors val="0"/>
        <c:ser>
          <c:idx val="0"/>
          <c:order val="0"/>
          <c:tx>
            <c:strRef>
              <c:f>Pivots!$C$98</c:f>
              <c:strCache>
                <c:ptCount val="1"/>
                <c:pt idx="0">
                  <c:v>Production Costs </c:v>
                </c:pt>
              </c:strCache>
            </c:strRef>
          </c:tx>
          <c:spPr>
            <a:solidFill>
              <a:schemeClr val="tx2"/>
            </a:solidFill>
            <a:ln>
              <a:noFill/>
            </a:ln>
            <a:effectLst/>
          </c:spPr>
          <c:invertIfNegative val="0"/>
          <c:cat>
            <c:strRef>
              <c:f>Pivots!$B$99:$B$107</c:f>
              <c:strCache>
                <c:ptCount val="8"/>
                <c:pt idx="0">
                  <c:v>2009</c:v>
                </c:pt>
                <c:pt idx="1">
                  <c:v>2010</c:v>
                </c:pt>
                <c:pt idx="2">
                  <c:v>2011</c:v>
                </c:pt>
                <c:pt idx="3">
                  <c:v>2012</c:v>
                </c:pt>
                <c:pt idx="4">
                  <c:v>2013</c:v>
                </c:pt>
                <c:pt idx="5">
                  <c:v>2014</c:v>
                </c:pt>
                <c:pt idx="6">
                  <c:v>2015</c:v>
                </c:pt>
                <c:pt idx="7">
                  <c:v>2016</c:v>
                </c:pt>
              </c:strCache>
            </c:strRef>
          </c:cat>
          <c:val>
            <c:numRef>
              <c:f>Pivots!$C$99:$C$107</c:f>
              <c:numCache>
                <c:formatCode>_(* #,##0.00_);_(* \(#,##0.00\);_(* "-"??_);_(@_)</c:formatCode>
                <c:ptCount val="8"/>
                <c:pt idx="0">
                  <c:v>9.9542055440786186</c:v>
                </c:pt>
                <c:pt idx="1">
                  <c:v>9.5045655910143534</c:v>
                </c:pt>
                <c:pt idx="2">
                  <c:v>10.47131825199793</c:v>
                </c:pt>
                <c:pt idx="3">
                  <c:v>9.6856739329118628</c:v>
                </c:pt>
                <c:pt idx="4">
                  <c:v>10.701988891617688</c:v>
                </c:pt>
                <c:pt idx="5">
                  <c:v>11.357868625899048</c:v>
                </c:pt>
                <c:pt idx="6">
                  <c:v>10.02323282072938</c:v>
                </c:pt>
                <c:pt idx="7">
                  <c:v>8.909927414642075</c:v>
                </c:pt>
              </c:numCache>
            </c:numRef>
          </c:val>
        </c:ser>
        <c:ser>
          <c:idx val="1"/>
          <c:order val="1"/>
          <c:tx>
            <c:strRef>
              <c:f>Pivots!$D$98</c:f>
              <c:strCache>
                <c:ptCount val="1"/>
                <c:pt idx="0">
                  <c:v>G&amp;A and Marketing </c:v>
                </c:pt>
              </c:strCache>
            </c:strRef>
          </c:tx>
          <c:spPr>
            <a:solidFill>
              <a:schemeClr val="accent2"/>
            </a:solidFill>
            <a:ln>
              <a:noFill/>
            </a:ln>
            <a:effectLst/>
          </c:spPr>
          <c:invertIfNegative val="0"/>
          <c:cat>
            <c:strRef>
              <c:f>Pivots!$B$99:$B$107</c:f>
              <c:strCache>
                <c:ptCount val="8"/>
                <c:pt idx="0">
                  <c:v>2009</c:v>
                </c:pt>
                <c:pt idx="1">
                  <c:v>2010</c:v>
                </c:pt>
                <c:pt idx="2">
                  <c:v>2011</c:v>
                </c:pt>
                <c:pt idx="3">
                  <c:v>2012</c:v>
                </c:pt>
                <c:pt idx="4">
                  <c:v>2013</c:v>
                </c:pt>
                <c:pt idx="5">
                  <c:v>2014</c:v>
                </c:pt>
                <c:pt idx="6">
                  <c:v>2015</c:v>
                </c:pt>
                <c:pt idx="7">
                  <c:v>2016</c:v>
                </c:pt>
              </c:strCache>
            </c:strRef>
          </c:cat>
          <c:val>
            <c:numRef>
              <c:f>Pivots!$D$99:$D$107</c:f>
              <c:numCache>
                <c:formatCode>_(* #,##0.00_);_(* \(#,##0.00\);_(* "-"??_);_(@_)</c:formatCode>
                <c:ptCount val="8"/>
                <c:pt idx="0">
                  <c:v>2.4115026991187878</c:v>
                </c:pt>
                <c:pt idx="1">
                  <c:v>2.0498083050038032</c:v>
                </c:pt>
                <c:pt idx="2">
                  <c:v>2.3575169821676725</c:v>
                </c:pt>
                <c:pt idx="3">
                  <c:v>2.4457530801190965</c:v>
                </c:pt>
                <c:pt idx="4">
                  <c:v>2.2172810327552779</c:v>
                </c:pt>
                <c:pt idx="5">
                  <c:v>2.0266524707314879</c:v>
                </c:pt>
                <c:pt idx="6">
                  <c:v>2.0163399039683982</c:v>
                </c:pt>
                <c:pt idx="7">
                  <c:v>2.0090825863889812</c:v>
                </c:pt>
              </c:numCache>
            </c:numRef>
          </c:val>
        </c:ser>
        <c:ser>
          <c:idx val="2"/>
          <c:order val="2"/>
          <c:tx>
            <c:strRef>
              <c:f>Pivots!$E$98</c:f>
              <c:strCache>
                <c:ptCount val="1"/>
                <c:pt idx="0">
                  <c:v>Cash Income Taxes </c:v>
                </c:pt>
              </c:strCache>
            </c:strRef>
          </c:tx>
          <c:spPr>
            <a:solidFill>
              <a:schemeClr val="accent3"/>
            </a:solidFill>
            <a:ln>
              <a:noFill/>
            </a:ln>
            <a:effectLst/>
          </c:spPr>
          <c:invertIfNegative val="0"/>
          <c:cat>
            <c:strRef>
              <c:f>Pivots!$B$99:$B$107</c:f>
              <c:strCache>
                <c:ptCount val="8"/>
                <c:pt idx="0">
                  <c:v>2009</c:v>
                </c:pt>
                <c:pt idx="1">
                  <c:v>2010</c:v>
                </c:pt>
                <c:pt idx="2">
                  <c:v>2011</c:v>
                </c:pt>
                <c:pt idx="3">
                  <c:v>2012</c:v>
                </c:pt>
                <c:pt idx="4">
                  <c:v>2013</c:v>
                </c:pt>
                <c:pt idx="5">
                  <c:v>2014</c:v>
                </c:pt>
                <c:pt idx="6">
                  <c:v>2015</c:v>
                </c:pt>
                <c:pt idx="7">
                  <c:v>2016</c:v>
                </c:pt>
              </c:strCache>
            </c:strRef>
          </c:cat>
          <c:val>
            <c:numRef>
              <c:f>Pivots!$E$99:$E$107</c:f>
              <c:numCache>
                <c:formatCode>_(* #,##0.00_);_(* \(#,##0.00\);_(* "-"??_);_(@_)</c:formatCode>
                <c:ptCount val="8"/>
                <c:pt idx="0">
                  <c:v>1.6796773792166952</c:v>
                </c:pt>
                <c:pt idx="1">
                  <c:v>3.2191447575903789</c:v>
                </c:pt>
                <c:pt idx="2">
                  <c:v>4.7741350069355653</c:v>
                </c:pt>
                <c:pt idx="3">
                  <c:v>4.4512983929880319</c:v>
                </c:pt>
                <c:pt idx="4">
                  <c:v>3.1495446048465303</c:v>
                </c:pt>
                <c:pt idx="5">
                  <c:v>3.0772908930702072</c:v>
                </c:pt>
                <c:pt idx="6">
                  <c:v>0.47426153728476822</c:v>
                </c:pt>
                <c:pt idx="7">
                  <c:v>-0.3135111106382632</c:v>
                </c:pt>
              </c:numCache>
            </c:numRef>
          </c:val>
        </c:ser>
        <c:ser>
          <c:idx val="3"/>
          <c:order val="3"/>
          <c:tx>
            <c:strRef>
              <c:f>Pivots!$F$98</c:f>
              <c:strCache>
                <c:ptCount val="1"/>
                <c:pt idx="0">
                  <c:v>Non-Income Taxes </c:v>
                </c:pt>
              </c:strCache>
            </c:strRef>
          </c:tx>
          <c:spPr>
            <a:solidFill>
              <a:schemeClr val="accent4"/>
            </a:solidFill>
            <a:ln>
              <a:noFill/>
            </a:ln>
            <a:effectLst/>
          </c:spPr>
          <c:invertIfNegative val="0"/>
          <c:cat>
            <c:strRef>
              <c:f>Pivots!$B$99:$B$107</c:f>
              <c:strCache>
                <c:ptCount val="8"/>
                <c:pt idx="0">
                  <c:v>2009</c:v>
                </c:pt>
                <c:pt idx="1">
                  <c:v>2010</c:v>
                </c:pt>
                <c:pt idx="2">
                  <c:v>2011</c:v>
                </c:pt>
                <c:pt idx="3">
                  <c:v>2012</c:v>
                </c:pt>
                <c:pt idx="4">
                  <c:v>2013</c:v>
                </c:pt>
                <c:pt idx="5">
                  <c:v>2014</c:v>
                </c:pt>
                <c:pt idx="6">
                  <c:v>2015</c:v>
                </c:pt>
                <c:pt idx="7">
                  <c:v>2016</c:v>
                </c:pt>
              </c:strCache>
            </c:strRef>
          </c:cat>
          <c:val>
            <c:numRef>
              <c:f>Pivots!$F$99:$F$107</c:f>
              <c:numCache>
                <c:formatCode>_(* #,##0.00_);_(* \(#,##0.00\);_(* "-"??_);_(@_)</c:formatCode>
                <c:ptCount val="8"/>
                <c:pt idx="0">
                  <c:v>2.1472517237630036</c:v>
                </c:pt>
                <c:pt idx="1">
                  <c:v>2.7459983083594022</c:v>
                </c:pt>
                <c:pt idx="2">
                  <c:v>3.6471866554399583</c:v>
                </c:pt>
                <c:pt idx="3">
                  <c:v>3.2216050054785073</c:v>
                </c:pt>
                <c:pt idx="4">
                  <c:v>2.8016477613226018</c:v>
                </c:pt>
                <c:pt idx="5">
                  <c:v>2.3945648227245804</c:v>
                </c:pt>
                <c:pt idx="6">
                  <c:v>1.2013166077214554</c:v>
                </c:pt>
                <c:pt idx="7">
                  <c:v>1.0053020207214878</c:v>
                </c:pt>
              </c:numCache>
            </c:numRef>
          </c:val>
        </c:ser>
        <c:ser>
          <c:idx val="4"/>
          <c:order val="4"/>
          <c:tx>
            <c:strRef>
              <c:f>Pivots!$G$98</c:f>
              <c:strCache>
                <c:ptCount val="1"/>
                <c:pt idx="0">
                  <c:v>Total Interest Expense </c:v>
                </c:pt>
              </c:strCache>
            </c:strRef>
          </c:tx>
          <c:spPr>
            <a:solidFill>
              <a:schemeClr val="accent5"/>
            </a:solidFill>
            <a:ln>
              <a:noFill/>
            </a:ln>
            <a:effectLst/>
          </c:spPr>
          <c:invertIfNegative val="0"/>
          <c:cat>
            <c:strRef>
              <c:f>Pivots!$B$99:$B$107</c:f>
              <c:strCache>
                <c:ptCount val="8"/>
                <c:pt idx="0">
                  <c:v>2009</c:v>
                </c:pt>
                <c:pt idx="1">
                  <c:v>2010</c:v>
                </c:pt>
                <c:pt idx="2">
                  <c:v>2011</c:v>
                </c:pt>
                <c:pt idx="3">
                  <c:v>2012</c:v>
                </c:pt>
                <c:pt idx="4">
                  <c:v>2013</c:v>
                </c:pt>
                <c:pt idx="5">
                  <c:v>2014</c:v>
                </c:pt>
                <c:pt idx="6">
                  <c:v>2015</c:v>
                </c:pt>
                <c:pt idx="7">
                  <c:v>2016</c:v>
                </c:pt>
              </c:strCache>
            </c:strRef>
          </c:cat>
          <c:val>
            <c:numRef>
              <c:f>Pivots!$G$99:$G$107</c:f>
              <c:numCache>
                <c:formatCode>_(* #,##0.00_);_(* \(#,##0.00\);_(* "-"??_);_(@_)</c:formatCode>
                <c:ptCount val="8"/>
                <c:pt idx="0">
                  <c:v>2.2124336490757877</c:v>
                </c:pt>
                <c:pt idx="1">
                  <c:v>2.2364757599603609</c:v>
                </c:pt>
                <c:pt idx="2">
                  <c:v>2.1438182799989161</c:v>
                </c:pt>
                <c:pt idx="3">
                  <c:v>2.1027990210632956</c:v>
                </c:pt>
                <c:pt idx="4">
                  <c:v>2.0664584728025783</c:v>
                </c:pt>
                <c:pt idx="5">
                  <c:v>1.8948713778435873</c:v>
                </c:pt>
                <c:pt idx="6">
                  <c:v>1.8716158632387567</c:v>
                </c:pt>
                <c:pt idx="7">
                  <c:v>1.9652319863101155</c:v>
                </c:pt>
              </c:numCache>
            </c:numRef>
          </c:val>
        </c:ser>
        <c:dLbls>
          <c:showLegendKey val="0"/>
          <c:showVal val="0"/>
          <c:showCatName val="0"/>
          <c:showSerName val="0"/>
          <c:showPercent val="0"/>
          <c:showBubbleSize val="0"/>
        </c:dLbls>
        <c:gapWidth val="163"/>
        <c:overlap val="100"/>
        <c:axId val="396374272"/>
        <c:axId val="396374832"/>
      </c:barChart>
      <c:lineChart>
        <c:grouping val="standard"/>
        <c:varyColors val="0"/>
        <c:ser>
          <c:idx val="5"/>
          <c:order val="5"/>
          <c:tx>
            <c:strRef>
              <c:f>Pivots!$H$98</c:f>
              <c:strCache>
                <c:ptCount val="1"/>
                <c:pt idx="0">
                  <c:v>Cash Costs/Barrel Produced </c:v>
                </c:pt>
              </c:strCache>
            </c:strRef>
          </c:tx>
          <c:spPr>
            <a:ln w="28575" cap="rnd">
              <a:noFill/>
              <a:round/>
            </a:ln>
            <a:effectLst/>
          </c:spPr>
          <c:marker>
            <c:symbol val="none"/>
          </c:marker>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Pivots!$B$99:$B$107</c:f>
              <c:strCache>
                <c:ptCount val="8"/>
                <c:pt idx="0">
                  <c:v>2009</c:v>
                </c:pt>
                <c:pt idx="1">
                  <c:v>2010</c:v>
                </c:pt>
                <c:pt idx="2">
                  <c:v>2011</c:v>
                </c:pt>
                <c:pt idx="3">
                  <c:v>2012</c:v>
                </c:pt>
                <c:pt idx="4">
                  <c:v>2013</c:v>
                </c:pt>
                <c:pt idx="5">
                  <c:v>2014</c:v>
                </c:pt>
                <c:pt idx="6">
                  <c:v>2015</c:v>
                </c:pt>
                <c:pt idx="7">
                  <c:v>2016</c:v>
                </c:pt>
              </c:strCache>
            </c:strRef>
          </c:cat>
          <c:val>
            <c:numRef>
              <c:f>Pivots!$H$99:$H$107</c:f>
              <c:numCache>
                <c:formatCode>_(* #,##0.00_);_(* \(#,##0.00\);_(* "-"??_);_(@_)</c:formatCode>
                <c:ptCount val="8"/>
                <c:pt idx="0">
                  <c:v>18.405070995252892</c:v>
                </c:pt>
                <c:pt idx="1">
                  <c:v>19.755992721928298</c:v>
                </c:pt>
                <c:pt idx="2">
                  <c:v>23.393975176540046</c:v>
                </c:pt>
                <c:pt idx="3">
                  <c:v>21.907129432560794</c:v>
                </c:pt>
                <c:pt idx="4">
                  <c:v>20.936920763344673</c:v>
                </c:pt>
                <c:pt idx="5">
                  <c:v>20.751248190268907</c:v>
                </c:pt>
                <c:pt idx="6">
                  <c:v>15.586766732942758</c:v>
                </c:pt>
                <c:pt idx="7">
                  <c:v>13.576032897424396</c:v>
                </c:pt>
              </c:numCache>
            </c:numRef>
          </c:val>
          <c:smooth val="0"/>
        </c:ser>
        <c:dLbls>
          <c:showLegendKey val="0"/>
          <c:showVal val="0"/>
          <c:showCatName val="0"/>
          <c:showSerName val="0"/>
          <c:showPercent val="0"/>
          <c:showBubbleSize val="0"/>
        </c:dLbls>
        <c:marker val="1"/>
        <c:smooth val="0"/>
        <c:axId val="396375952"/>
        <c:axId val="396375392"/>
      </c:lineChart>
      <c:catAx>
        <c:axId val="39637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6374832"/>
        <c:crosses val="autoZero"/>
        <c:auto val="1"/>
        <c:lblAlgn val="ctr"/>
        <c:lblOffset val="100"/>
        <c:noMultiLvlLbl val="0"/>
      </c:catAx>
      <c:valAx>
        <c:axId val="39637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$/BOE</a:t>
                </a:r>
              </a:p>
            </c:rich>
          </c:tx>
          <c:layout>
            <c:manualLayout>
              <c:xMode val="edge"/>
              <c:yMode val="edge"/>
              <c:x val="0"/>
              <c:y val="0.35629523582279482"/>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6374272"/>
        <c:crosses val="autoZero"/>
        <c:crossBetween val="between"/>
      </c:valAx>
      <c:valAx>
        <c:axId val="396375392"/>
        <c:scaling>
          <c:orientation val="minMax"/>
        </c:scaling>
        <c:delete val="1"/>
        <c:axPos val="r"/>
        <c:numFmt formatCode="_(* #,##0.00_);_(* \(#,##0.00\);_(* &quot;-&quot;??_);_(@_)" sourceLinked="1"/>
        <c:majorTickMark val="out"/>
        <c:minorTickMark val="none"/>
        <c:tickLblPos val="nextTo"/>
        <c:crossAx val="396375952"/>
        <c:crosses val="max"/>
        <c:crossBetween val="between"/>
      </c:valAx>
      <c:catAx>
        <c:axId val="396375952"/>
        <c:scaling>
          <c:orientation val="minMax"/>
        </c:scaling>
        <c:delete val="1"/>
        <c:axPos val="b"/>
        <c:numFmt formatCode="General" sourceLinked="1"/>
        <c:majorTickMark val="out"/>
        <c:minorTickMark val="none"/>
        <c:tickLblPos val="nextTo"/>
        <c:crossAx val="396375392"/>
        <c:crosses val="autoZero"/>
        <c:auto val="1"/>
        <c:lblAlgn val="ctr"/>
        <c:lblOffset val="100"/>
        <c:noMultiLvlLbl val="0"/>
      </c:catAx>
      <c:spPr>
        <a:noFill/>
        <a:ln>
          <a:noFill/>
        </a:ln>
        <a:effectLst/>
      </c:spPr>
    </c:plotArea>
    <c:legend>
      <c:legendPos val="b"/>
      <c:legendEntry>
        <c:idx val="5"/>
        <c:delete val="1"/>
      </c:legendEntry>
      <c:layout>
        <c:manualLayout>
          <c:xMode val="edge"/>
          <c:yMode val="edge"/>
          <c:x val="0"/>
          <c:y val="0.809524709032583"/>
          <c:w val="1"/>
          <c:h val="0.1904752909674169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[CEE Upstream Matrix.xlsx]Pivots!PivotTable20</c:name>
    <c:fmtId val="1"/>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5">
              <a:lumMod val="75000"/>
            </a:schemeClr>
          </a:solidFill>
          <a:ln>
            <a:noFill/>
          </a:ln>
          <a:effectLst/>
        </c:spPr>
        <c:marker>
          <c:symbol val="none"/>
        </c:marker>
      </c:pivotFmt>
      <c:pivotFmt>
        <c:idx val="9"/>
        <c:spPr>
          <a:solidFill>
            <a:schemeClr val="accent5">
              <a:lumMod val="60000"/>
              <a:lumOff val="40000"/>
            </a:schemeClr>
          </a:solidFill>
          <a:ln>
            <a:noFill/>
          </a:ln>
          <a:effectLst/>
        </c:spPr>
        <c:marker>
          <c:symbol val="none"/>
        </c:marker>
      </c:pivotFmt>
      <c:pivotFmt>
        <c:idx val="10"/>
        <c:spPr>
          <a:solidFill>
            <a:schemeClr val="accent5">
              <a:lumMod val="40000"/>
              <a:lumOff val="60000"/>
            </a:schemeClr>
          </a:solidFill>
          <a:ln>
            <a:noFill/>
          </a:ln>
          <a:effectLst/>
        </c:spPr>
        <c:marker>
          <c:symbol val="none"/>
        </c:marker>
      </c:pivotFmt>
      <c:pivotFmt>
        <c:idx val="11"/>
        <c:spPr>
          <a:solidFill>
            <a:schemeClr val="accent5">
              <a:lumMod val="20000"/>
              <a:lumOff val="80000"/>
            </a:schemeClr>
          </a:solidFill>
          <a:ln>
            <a:noFill/>
          </a:ln>
          <a:effectLst/>
        </c:spPr>
        <c:marker>
          <c:symbol val="none"/>
        </c:marker>
      </c:pivotFmt>
      <c:pivotFmt>
        <c:idx val="12"/>
        <c:spPr>
          <a:solidFill>
            <a:schemeClr val="accent5">
              <a:lumMod val="75000"/>
            </a:schemeClr>
          </a:solidFill>
          <a:ln>
            <a:noFill/>
          </a:ln>
          <a:effectLst/>
        </c:spPr>
        <c:marker>
          <c:symbol val="none"/>
        </c:marker>
      </c:pivotFmt>
      <c:pivotFmt>
        <c:idx val="13"/>
        <c:spPr>
          <a:solidFill>
            <a:schemeClr val="accent5">
              <a:lumMod val="60000"/>
              <a:lumOff val="40000"/>
            </a:schemeClr>
          </a:solidFill>
          <a:ln>
            <a:noFill/>
          </a:ln>
          <a:effectLst/>
        </c:spPr>
        <c:marker>
          <c:symbol val="none"/>
        </c:marker>
      </c:pivotFmt>
      <c:pivotFmt>
        <c:idx val="14"/>
        <c:spPr>
          <a:solidFill>
            <a:schemeClr val="accent5">
              <a:lumMod val="40000"/>
              <a:lumOff val="60000"/>
            </a:schemeClr>
          </a:solidFill>
          <a:ln>
            <a:noFill/>
          </a:ln>
          <a:effectLst/>
        </c:spPr>
        <c:marker>
          <c:symbol val="none"/>
        </c:marker>
      </c:pivotFmt>
      <c:pivotFmt>
        <c:idx val="15"/>
        <c:spPr>
          <a:solidFill>
            <a:sysClr val="window" lastClr="FFFFFF">
              <a:lumMod val="75000"/>
            </a:sysClr>
          </a:solidFill>
          <a:ln>
            <a:noFill/>
          </a:ln>
          <a:effectLst/>
        </c:spPr>
        <c:marker>
          <c:symbol val="none"/>
        </c:marker>
      </c:pivotFmt>
    </c:pivotFmts>
    <c:plotArea>
      <c:layout>
        <c:manualLayout>
          <c:layoutTarget val="inner"/>
          <c:xMode val="edge"/>
          <c:yMode val="edge"/>
          <c:x val="0.15685007252933492"/>
          <c:y val="0.13948013812103274"/>
          <c:w val="0.82405280531007641"/>
          <c:h val="0.60261044542219"/>
        </c:manualLayout>
      </c:layout>
      <c:barChart>
        <c:barDir val="col"/>
        <c:grouping val="stacked"/>
        <c:varyColors val="0"/>
        <c:ser>
          <c:idx val="0"/>
          <c:order val="0"/>
          <c:tx>
            <c:strRef>
              <c:f>Pivots!$C$110</c:f>
              <c:strCache>
                <c:ptCount val="1"/>
                <c:pt idx="0">
                  <c:v>Revisions </c:v>
                </c:pt>
              </c:strCache>
            </c:strRef>
          </c:tx>
          <c:spPr>
            <a:solidFill>
              <a:schemeClr val="accent5">
                <a:lumMod val="75000"/>
              </a:schemeClr>
            </a:solidFill>
            <a:ln>
              <a:noFill/>
            </a:ln>
            <a:effectLst/>
          </c:spPr>
          <c:invertIfNegative val="0"/>
          <c:cat>
            <c:strRef>
              <c:f>Pivots!$B$111:$B$119</c:f>
              <c:strCache>
                <c:ptCount val="8"/>
                <c:pt idx="0">
                  <c:v>2009</c:v>
                </c:pt>
                <c:pt idx="1">
                  <c:v>2010</c:v>
                </c:pt>
                <c:pt idx="2">
                  <c:v>2011</c:v>
                </c:pt>
                <c:pt idx="3">
                  <c:v>2012</c:v>
                </c:pt>
                <c:pt idx="4">
                  <c:v>2013</c:v>
                </c:pt>
                <c:pt idx="5">
                  <c:v>2014</c:v>
                </c:pt>
                <c:pt idx="6">
                  <c:v>2015</c:v>
                </c:pt>
                <c:pt idx="7">
                  <c:v>2016</c:v>
                </c:pt>
              </c:strCache>
            </c:strRef>
          </c:cat>
          <c:val>
            <c:numRef>
              <c:f>Pivots!$C$111:$C$119</c:f>
              <c:numCache>
                <c:formatCode>#,##0</c:formatCode>
                <c:ptCount val="8"/>
                <c:pt idx="0">
                  <c:v>-266.35099999999994</c:v>
                </c:pt>
                <c:pt idx="1">
                  <c:v>907.15983333333338</c:v>
                </c:pt>
                <c:pt idx="2">
                  <c:v>158.01966666666667</c:v>
                </c:pt>
                <c:pt idx="3">
                  <c:v>-2337.4663333333333</c:v>
                </c:pt>
                <c:pt idx="4">
                  <c:v>192.70483333333334</c:v>
                </c:pt>
                <c:pt idx="5">
                  <c:v>950.1065000000001</c:v>
                </c:pt>
                <c:pt idx="6">
                  <c:v>-5021.7255000000005</c:v>
                </c:pt>
                <c:pt idx="7">
                  <c:v>-205.6853333333334</c:v>
                </c:pt>
              </c:numCache>
            </c:numRef>
          </c:val>
        </c:ser>
        <c:ser>
          <c:idx val="1"/>
          <c:order val="1"/>
          <c:tx>
            <c:strRef>
              <c:f>Pivots!$D$110</c:f>
              <c:strCache>
                <c:ptCount val="1"/>
                <c:pt idx="0">
                  <c:v>Extensions, Discoveries, Other </c:v>
                </c:pt>
              </c:strCache>
            </c:strRef>
          </c:tx>
          <c:spPr>
            <a:solidFill>
              <a:schemeClr val="accent5">
                <a:lumMod val="60000"/>
                <a:lumOff val="40000"/>
              </a:schemeClr>
            </a:solidFill>
            <a:ln>
              <a:noFill/>
            </a:ln>
            <a:effectLst/>
          </c:spPr>
          <c:invertIfNegative val="0"/>
          <c:cat>
            <c:strRef>
              <c:f>Pivots!$B$111:$B$119</c:f>
              <c:strCache>
                <c:ptCount val="8"/>
                <c:pt idx="0">
                  <c:v>2009</c:v>
                </c:pt>
                <c:pt idx="1">
                  <c:v>2010</c:v>
                </c:pt>
                <c:pt idx="2">
                  <c:v>2011</c:v>
                </c:pt>
                <c:pt idx="3">
                  <c:v>2012</c:v>
                </c:pt>
                <c:pt idx="4">
                  <c:v>2013</c:v>
                </c:pt>
                <c:pt idx="5">
                  <c:v>2014</c:v>
                </c:pt>
                <c:pt idx="6">
                  <c:v>2015</c:v>
                </c:pt>
                <c:pt idx="7">
                  <c:v>2016</c:v>
                </c:pt>
              </c:strCache>
            </c:strRef>
          </c:cat>
          <c:val>
            <c:numRef>
              <c:f>Pivots!$D$111:$D$119</c:f>
              <c:numCache>
                <c:formatCode>#,##0</c:formatCode>
                <c:ptCount val="8"/>
                <c:pt idx="0">
                  <c:v>2722.2086666666664</c:v>
                </c:pt>
                <c:pt idx="1">
                  <c:v>3167.4879999999998</c:v>
                </c:pt>
                <c:pt idx="2">
                  <c:v>3454.4940000000001</c:v>
                </c:pt>
                <c:pt idx="3">
                  <c:v>3867.8883333333333</c:v>
                </c:pt>
                <c:pt idx="4">
                  <c:v>4683.9941666666664</c:v>
                </c:pt>
                <c:pt idx="5">
                  <c:v>3900.4638333333337</c:v>
                </c:pt>
                <c:pt idx="6">
                  <c:v>2184.1996666666664</c:v>
                </c:pt>
                <c:pt idx="7">
                  <c:v>2645.5761666666667</c:v>
                </c:pt>
              </c:numCache>
            </c:numRef>
          </c:val>
        </c:ser>
        <c:ser>
          <c:idx val="2"/>
          <c:order val="2"/>
          <c:tx>
            <c:strRef>
              <c:f>Pivots!$E$110</c:f>
              <c:strCache>
                <c:ptCount val="1"/>
                <c:pt idx="0">
                  <c:v>Purchases of Reserves </c:v>
                </c:pt>
              </c:strCache>
            </c:strRef>
          </c:tx>
          <c:spPr>
            <a:solidFill>
              <a:schemeClr val="accent5">
                <a:lumMod val="40000"/>
                <a:lumOff val="60000"/>
              </a:schemeClr>
            </a:solidFill>
            <a:ln>
              <a:noFill/>
            </a:ln>
            <a:effectLst/>
          </c:spPr>
          <c:invertIfNegative val="0"/>
          <c:cat>
            <c:strRef>
              <c:f>Pivots!$B$111:$B$119</c:f>
              <c:strCache>
                <c:ptCount val="8"/>
                <c:pt idx="0">
                  <c:v>2009</c:v>
                </c:pt>
                <c:pt idx="1">
                  <c:v>2010</c:v>
                </c:pt>
                <c:pt idx="2">
                  <c:v>2011</c:v>
                </c:pt>
                <c:pt idx="3">
                  <c:v>2012</c:v>
                </c:pt>
                <c:pt idx="4">
                  <c:v>2013</c:v>
                </c:pt>
                <c:pt idx="5">
                  <c:v>2014</c:v>
                </c:pt>
                <c:pt idx="6">
                  <c:v>2015</c:v>
                </c:pt>
                <c:pt idx="7">
                  <c:v>2016</c:v>
                </c:pt>
              </c:strCache>
            </c:strRef>
          </c:cat>
          <c:val>
            <c:numRef>
              <c:f>Pivots!$E$111:$E$119</c:f>
              <c:numCache>
                <c:formatCode>#,##0</c:formatCode>
                <c:ptCount val="8"/>
                <c:pt idx="0">
                  <c:v>197.56416666666667</c:v>
                </c:pt>
                <c:pt idx="1">
                  <c:v>360.99533333333329</c:v>
                </c:pt>
                <c:pt idx="2">
                  <c:v>362.91300000000001</c:v>
                </c:pt>
                <c:pt idx="3">
                  <c:v>349.60983333333331</c:v>
                </c:pt>
                <c:pt idx="4">
                  <c:v>102.22716666666665</c:v>
                </c:pt>
                <c:pt idx="5">
                  <c:v>1159.3536666666666</c:v>
                </c:pt>
                <c:pt idx="6">
                  <c:v>98.180833333333325</c:v>
                </c:pt>
                <c:pt idx="7">
                  <c:v>517.06383333333338</c:v>
                </c:pt>
              </c:numCache>
            </c:numRef>
          </c:val>
        </c:ser>
        <c:ser>
          <c:idx val="3"/>
          <c:order val="3"/>
          <c:tx>
            <c:strRef>
              <c:f>Pivots!$F$110</c:f>
              <c:strCache>
                <c:ptCount val="1"/>
                <c:pt idx="0">
                  <c:v>Improved Recovery </c:v>
                </c:pt>
              </c:strCache>
            </c:strRef>
          </c:tx>
          <c:spPr>
            <a:solidFill>
              <a:sysClr val="window" lastClr="FFFFFF">
                <a:lumMod val="75000"/>
              </a:sysClr>
            </a:solidFill>
            <a:ln>
              <a:noFill/>
            </a:ln>
            <a:effectLst/>
          </c:spPr>
          <c:invertIfNegative val="0"/>
          <c:cat>
            <c:strRef>
              <c:f>Pivots!$B$111:$B$119</c:f>
              <c:strCache>
                <c:ptCount val="8"/>
                <c:pt idx="0">
                  <c:v>2009</c:v>
                </c:pt>
                <c:pt idx="1">
                  <c:v>2010</c:v>
                </c:pt>
                <c:pt idx="2">
                  <c:v>2011</c:v>
                </c:pt>
                <c:pt idx="3">
                  <c:v>2012</c:v>
                </c:pt>
                <c:pt idx="4">
                  <c:v>2013</c:v>
                </c:pt>
                <c:pt idx="5">
                  <c:v>2014</c:v>
                </c:pt>
                <c:pt idx="6">
                  <c:v>2015</c:v>
                </c:pt>
                <c:pt idx="7">
                  <c:v>2016</c:v>
                </c:pt>
              </c:strCache>
            </c:strRef>
          </c:cat>
          <c:val>
            <c:numRef>
              <c:f>Pivots!$F$111:$F$119</c:f>
              <c:numCache>
                <c:formatCode>#,##0</c:formatCode>
                <c:ptCount val="8"/>
                <c:pt idx="0">
                  <c:v>94.333333333333329</c:v>
                </c:pt>
                <c:pt idx="1">
                  <c:v>222.21600000000001</c:v>
                </c:pt>
                <c:pt idx="2">
                  <c:v>202.39400000000001</c:v>
                </c:pt>
                <c:pt idx="3">
                  <c:v>256.49799999999999</c:v>
                </c:pt>
                <c:pt idx="4">
                  <c:v>298.5</c:v>
                </c:pt>
                <c:pt idx="5">
                  <c:v>288.33333333333331</c:v>
                </c:pt>
                <c:pt idx="6">
                  <c:v>122.5</c:v>
                </c:pt>
                <c:pt idx="7">
                  <c:v>165</c:v>
                </c:pt>
              </c:numCache>
            </c:numRef>
          </c:val>
        </c:ser>
        <c:dLbls>
          <c:showLegendKey val="0"/>
          <c:showVal val="0"/>
          <c:showCatName val="0"/>
          <c:showSerName val="0"/>
          <c:showPercent val="0"/>
          <c:showBubbleSize val="0"/>
        </c:dLbls>
        <c:gapWidth val="150"/>
        <c:overlap val="100"/>
        <c:axId val="396407040"/>
        <c:axId val="396407600"/>
      </c:barChart>
      <c:catAx>
        <c:axId val="3964070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6407600"/>
        <c:crosses val="autoZero"/>
        <c:auto val="1"/>
        <c:lblAlgn val="ctr"/>
        <c:lblOffset val="100"/>
        <c:noMultiLvlLbl val="0"/>
      </c:catAx>
      <c:valAx>
        <c:axId val="396407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MMBOE</a:t>
                </a:r>
              </a:p>
            </c:rich>
          </c:tx>
          <c:layout>
            <c:manualLayout>
              <c:xMode val="edge"/>
              <c:yMode val="edge"/>
              <c:x val="4.5574668080325354E-3"/>
              <c:y val="0.3375720815349176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6407040"/>
        <c:crosses val="autoZero"/>
        <c:crossBetween val="between"/>
      </c:valAx>
      <c:spPr>
        <a:noFill/>
        <a:ln>
          <a:noFill/>
        </a:ln>
        <a:effectLst/>
      </c:spPr>
    </c:plotArea>
    <c:legend>
      <c:legendPos val="b"/>
      <c:layout>
        <c:manualLayout>
          <c:xMode val="edge"/>
          <c:yMode val="edge"/>
          <c:x val="0"/>
          <c:y val="0.85773747978472392"/>
          <c:w val="0.99725352690288716"/>
          <c:h val="0.1413670829025159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6</xdr:col>
      <xdr:colOff>704850</xdr:colOff>
      <xdr:row>0</xdr:row>
      <xdr:rowOff>0</xdr:rowOff>
    </xdr:from>
    <xdr:to>
      <xdr:col>9</xdr:col>
      <xdr:colOff>542925</xdr:colOff>
      <xdr:row>13</xdr:row>
      <xdr:rowOff>47625</xdr:rowOff>
    </xdr:to>
    <mc:AlternateContent xmlns:mc="http://schemas.openxmlformats.org/markup-compatibility/2006" xmlns:a14="http://schemas.microsoft.com/office/drawing/2010/main">
      <mc:Choice Requires="a14">
        <xdr:graphicFrame macro="">
          <xdr:nvGraphicFramePr>
            <xdr:cNvPr id="2" name="Company 1"/>
            <xdr:cNvGraphicFramePr/>
          </xdr:nvGraphicFramePr>
          <xdr:xfrm>
            <a:off x="0" y="0"/>
            <a:ext cx="0" cy="0"/>
          </xdr:xfrm>
          <a:graphic>
            <a:graphicData uri="http://schemas.microsoft.com/office/drawing/2010/slicer">
              <sle:slicer xmlns:sle="http://schemas.microsoft.com/office/drawing/2010/slicer" name="Company 1"/>
            </a:graphicData>
          </a:graphic>
        </xdr:graphicFrame>
      </mc:Choice>
      <mc:Fallback xmlns="">
        <xdr:sp macro="" textlink="">
          <xdr:nvSpPr>
            <xdr:cNvPr id="0" name=""/>
            <xdr:cNvSpPr>
              <a:spLocks noTextEdit="1"/>
            </xdr:cNvSpPr>
          </xdr:nvSpPr>
          <xdr:spPr>
            <a:xfrm>
              <a:off x="7067550"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552450</xdr:colOff>
      <xdr:row>0</xdr:row>
      <xdr:rowOff>0</xdr:rowOff>
    </xdr:from>
    <xdr:to>
      <xdr:col>12</xdr:col>
      <xdr:colOff>552450</xdr:colOff>
      <xdr:row>13</xdr:row>
      <xdr:rowOff>47625</xdr:rowOff>
    </xdr:to>
    <mc:AlternateContent xmlns:mc="http://schemas.openxmlformats.org/markup-compatibility/2006" xmlns:a14="http://schemas.microsoft.com/office/drawing/2010/main">
      <mc:Choice Requires="a14">
        <xdr:graphicFrame macro="">
          <xdr:nvGraphicFramePr>
            <xdr:cNvPr id="3"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8905875" y="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0.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Annual Cash Cost Breakdown</a:t>
          </a:r>
          <a:endParaRPr lang="en-US" sz="1600" b="1" baseline="0"/>
        </a:p>
      </cdr:txBody>
    </cdr:sp>
  </cdr:relSizeAnchor>
</c:userShapes>
</file>

<file path=xl/drawings/drawing11.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Reserve Addition</a:t>
          </a:r>
          <a:r>
            <a:rPr lang="en-US" sz="1600" b="1" baseline="0"/>
            <a:t> Categories</a:t>
          </a:r>
        </a:p>
      </cdr:txBody>
    </cdr:sp>
  </cdr:relSizeAnchor>
</c:userShapes>
</file>

<file path=xl/drawings/drawing12.xml><?xml version="1.0" encoding="utf-8"?>
<c:userShapes xmlns:c="http://schemas.openxmlformats.org/drawingml/2006/chart">
  <cdr:relSizeAnchor xmlns:cdr="http://schemas.openxmlformats.org/drawingml/2006/chartDrawing">
    <cdr:from>
      <cdr:x>0.75913</cdr:x>
      <cdr:y>0.17233</cdr:y>
    </cdr:from>
    <cdr:to>
      <cdr:x>0.99737</cdr:x>
      <cdr:y>0.76389</cdr:y>
    </cdr:to>
    <cdr:sp macro="" textlink="">
      <cdr:nvSpPr>
        <cdr:cNvPr id="2" name="TextBox 1"/>
        <cdr:cNvSpPr txBox="1"/>
      </cdr:nvSpPr>
      <cdr:spPr>
        <a:xfrm xmlns:a="http://schemas.openxmlformats.org/drawingml/2006/main">
          <a:off x="3887231" y="520008"/>
          <a:ext cx="1219942" cy="1785041"/>
        </a:xfrm>
        <a:prstGeom xmlns:a="http://schemas.openxmlformats.org/drawingml/2006/main" prst="rect">
          <a:avLst/>
        </a:prstGeom>
        <a:solidFill xmlns:a="http://schemas.openxmlformats.org/drawingml/2006/main">
          <a:srgbClr val="FFFF00"/>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Costs not flowing through the income statement</a:t>
          </a:r>
          <a:r>
            <a:rPr lang="en-US" sz="1200" b="1" baseline="0"/>
            <a:t> and not being reported as costs incurred in the footnotes.</a:t>
          </a:r>
        </a:p>
      </cdr:txBody>
    </cdr:sp>
  </cdr:relSizeAnchor>
  <cdr:relSizeAnchor xmlns:cdr="http://schemas.openxmlformats.org/drawingml/2006/chartDrawing">
    <cdr:from>
      <cdr:x>0.00186</cdr:x>
      <cdr:y>0</cdr:y>
    </cdr:from>
    <cdr:to>
      <cdr:x>1</cdr:x>
      <cdr:y>0.09154</cdr:y>
    </cdr:to>
    <cdr:sp macro="" textlink="">
      <cdr:nvSpPr>
        <cdr:cNvPr id="3"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Unexpensed Exploration Costs</a:t>
          </a:r>
          <a:endParaRPr lang="en-US" sz="1600" b="1" baseline="0"/>
        </a:p>
      </cdr:txBody>
    </cdr:sp>
  </cdr:relSizeAnchor>
</c:userShapes>
</file>

<file path=xl/drawings/drawing13.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Natural</a:t>
          </a:r>
          <a:r>
            <a:rPr lang="en-US" sz="1600" b="1" baseline="0"/>
            <a:t> Gas Share of Annual Production</a:t>
          </a:r>
        </a:p>
      </cdr:txBody>
    </cdr:sp>
  </cdr:relSizeAnchor>
</c:userShapes>
</file>

<file path=xl/drawings/drawing14.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US All Source Additions (Net of Revisions) &amp; Capex</a:t>
          </a:r>
          <a:endParaRPr lang="en-US" sz="1600" b="1" baseline="0"/>
        </a:p>
      </cdr:txBody>
    </cdr:sp>
  </cdr:relSizeAnchor>
</c:userShapes>
</file>

<file path=xl/drawings/drawing15.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US PUDs</a:t>
          </a:r>
          <a:r>
            <a:rPr lang="en-US" sz="1600" b="1" baseline="0"/>
            <a:t> by Product</a:t>
          </a:r>
        </a:p>
      </cdr:txBody>
    </cdr:sp>
  </cdr:relSizeAnchor>
</c:userShapes>
</file>

<file path=xl/drawings/drawing16.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Annual Production</a:t>
          </a:r>
          <a:endParaRPr lang="en-US" sz="1600" b="1" baseline="0"/>
        </a:p>
      </cdr:txBody>
    </cdr:sp>
  </cdr:relSizeAnchor>
</c:userShapes>
</file>

<file path=xl/drawings/drawing17.xml><?xml version="1.0" encoding="utf-8"?>
<xdr:wsDr xmlns:xdr="http://schemas.openxmlformats.org/drawingml/2006/spreadsheetDrawing" xmlns:a="http://schemas.openxmlformats.org/drawingml/2006/main">
  <xdr:twoCellAnchor>
    <xdr:from>
      <xdr:col>5</xdr:col>
      <xdr:colOff>0</xdr:colOff>
      <xdr:row>35</xdr:row>
      <xdr:rowOff>0</xdr:rowOff>
    </xdr:from>
    <xdr:to>
      <xdr:col>9</xdr:col>
      <xdr:colOff>281940</xdr:colOff>
      <xdr:row>50</xdr:row>
      <xdr:rowOff>160020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0</xdr:rowOff>
    </xdr:from>
    <xdr:to>
      <xdr:col>4</xdr:col>
      <xdr:colOff>272415</xdr:colOff>
      <xdr:row>50</xdr:row>
      <xdr:rowOff>160020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35</xdr:row>
      <xdr:rowOff>0</xdr:rowOff>
    </xdr:from>
    <xdr:to>
      <xdr:col>13</xdr:col>
      <xdr:colOff>1263015</xdr:colOff>
      <xdr:row>50</xdr:row>
      <xdr:rowOff>160020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647700</xdr:colOff>
      <xdr:row>51</xdr:row>
      <xdr:rowOff>57150</xdr:rowOff>
    </xdr:from>
    <xdr:to>
      <xdr:col>10</xdr:col>
      <xdr:colOff>666750</xdr:colOff>
      <xdr:row>65</xdr:row>
      <xdr:rowOff>114300</xdr:rowOff>
    </xdr:to>
    <mc:AlternateContent xmlns:mc="http://schemas.openxmlformats.org/markup-compatibility/2006" xmlns:a14="http://schemas.microsoft.com/office/drawing/2010/main">
      <mc:Choice Requires="a14">
        <xdr:graphicFrame macro="">
          <xdr:nvGraphicFramePr>
            <xdr:cNvPr id="5"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4038600" y="9772650"/>
              <a:ext cx="8658225" cy="27241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18.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Realized Oil Prices vs. WTI</a:t>
          </a:r>
          <a:endParaRPr lang="en-US" sz="1600" b="1" baseline="0"/>
        </a:p>
      </cdr:txBody>
    </cdr:sp>
  </cdr:relSizeAnchor>
</c:userShapes>
</file>

<file path=xl/drawings/drawing19.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Realized Natural Gas Prices vs. Henry</a:t>
          </a:r>
          <a:r>
            <a:rPr lang="en-US" sz="1600" b="1" baseline="0"/>
            <a:t> Hub</a:t>
          </a:r>
        </a:p>
      </cdr:txBody>
    </cdr:sp>
  </cdr:relSizeAnchor>
</c:userShapes>
</file>

<file path=xl/drawings/drawing2.xml><?xml version="1.0" encoding="utf-8"?>
<xdr:wsDr xmlns:xdr="http://schemas.openxmlformats.org/drawingml/2006/spreadsheetDrawing" xmlns:a="http://schemas.openxmlformats.org/drawingml/2006/main">
  <xdr:twoCellAnchor>
    <xdr:from>
      <xdr:col>11</xdr:col>
      <xdr:colOff>0</xdr:colOff>
      <xdr:row>0</xdr:row>
      <xdr:rowOff>0</xdr:rowOff>
    </xdr:from>
    <xdr:to>
      <xdr:col>19</xdr:col>
      <xdr:colOff>243840</xdr:colOff>
      <xdr:row>15</xdr:row>
      <xdr:rowOff>160020</xdr:rowOff>
    </xdr:to>
    <xdr:graphicFrame macro="">
      <xdr:nvGraphicFramePr>
        <xdr:cNvPr id="2" name="An Equivalent Barre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10</xdr:col>
      <xdr:colOff>245745</xdr:colOff>
      <xdr:row>8</xdr:row>
      <xdr:rowOff>76200</xdr:rowOff>
    </xdr:to>
    <mc:AlternateContent xmlns:mc="http://schemas.openxmlformats.org/markup-compatibility/2006" xmlns:a14="http://schemas.microsoft.com/office/drawing/2010/main">
      <mc:Choice Requires="a14">
        <xdr:graphicFrame macro="">
          <xdr:nvGraphicFramePr>
            <xdr:cNvPr id="3" name="Company 2"/>
            <xdr:cNvGraphicFramePr/>
          </xdr:nvGraphicFramePr>
          <xdr:xfrm>
            <a:off x="0" y="0"/>
            <a:ext cx="0" cy="0"/>
          </xdr:xfrm>
          <a:graphic>
            <a:graphicData uri="http://schemas.microsoft.com/office/drawing/2010/slicer">
              <sle:slicer xmlns:sle="http://schemas.microsoft.com/office/drawing/2010/slicer" name="Company 2"/>
            </a:graphicData>
          </a:graphic>
        </xdr:graphicFrame>
      </mc:Choice>
      <mc:Fallback xmlns="">
        <xdr:sp macro="" textlink="">
          <xdr:nvSpPr>
            <xdr:cNvPr id="0" name=""/>
            <xdr:cNvSpPr>
              <a:spLocks noTextEdit="1"/>
            </xdr:cNvSpPr>
          </xdr:nvSpPr>
          <xdr:spPr>
            <a:xfrm>
              <a:off x="0" y="0"/>
              <a:ext cx="6217920" cy="1600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9</xdr:row>
      <xdr:rowOff>85725</xdr:rowOff>
    </xdr:from>
    <xdr:to>
      <xdr:col>10</xdr:col>
      <xdr:colOff>245745</xdr:colOff>
      <xdr:row>14</xdr:row>
      <xdr:rowOff>106892</xdr:rowOff>
    </xdr:to>
    <mc:AlternateContent xmlns:mc="http://schemas.openxmlformats.org/markup-compatibility/2006" xmlns:a14="http://schemas.microsoft.com/office/drawing/2010/main">
      <mc:Choice Requires="a14">
        <xdr:graphicFrame macro="">
          <xdr:nvGraphicFramePr>
            <xdr:cNvPr id="4" name="Year 2"/>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0" y="1800225"/>
              <a:ext cx="6217920" cy="97366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21</xdr:col>
      <xdr:colOff>0</xdr:colOff>
      <xdr:row>0</xdr:row>
      <xdr:rowOff>0</xdr:rowOff>
    </xdr:from>
    <xdr:to>
      <xdr:col>29</xdr:col>
      <xdr:colOff>243840</xdr:colOff>
      <xdr:row>15</xdr:row>
      <xdr:rowOff>160020</xdr:rowOff>
    </xdr:to>
    <xdr:graphicFrame macro="">
      <xdr:nvGraphicFramePr>
        <xdr:cNvPr id="5" name="Cost Stack with 10% Return ($/BO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18</xdr:row>
      <xdr:rowOff>0</xdr:rowOff>
    </xdr:from>
    <xdr:to>
      <xdr:col>9</xdr:col>
      <xdr:colOff>209973</xdr:colOff>
      <xdr:row>33</xdr:row>
      <xdr:rowOff>160020</xdr:rowOff>
    </xdr:to>
    <xdr:graphicFrame macro="">
      <xdr:nvGraphicFramePr>
        <xdr:cNvPr id="6" name="Cost Stack with Return Equal to FD Cape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18</xdr:row>
      <xdr:rowOff>0</xdr:rowOff>
    </xdr:from>
    <xdr:to>
      <xdr:col>19</xdr:col>
      <xdr:colOff>243840</xdr:colOff>
      <xdr:row>33</xdr:row>
      <xdr:rowOff>160020</xdr:rowOff>
    </xdr:to>
    <xdr:graphicFrame macro="">
      <xdr:nvGraphicFramePr>
        <xdr:cNvPr id="7" name="Cost Stack with 10% Return ($/BCF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18</xdr:row>
      <xdr:rowOff>0</xdr:rowOff>
    </xdr:from>
    <xdr:to>
      <xdr:col>29</xdr:col>
      <xdr:colOff>243840</xdr:colOff>
      <xdr:row>33</xdr:row>
      <xdr:rowOff>160020</xdr:rowOff>
    </xdr:to>
    <xdr:graphicFrame macro="">
      <xdr:nvGraphicFramePr>
        <xdr:cNvPr id="8"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36</xdr:row>
      <xdr:rowOff>4762</xdr:rowOff>
    </xdr:from>
    <xdr:to>
      <xdr:col>9</xdr:col>
      <xdr:colOff>243840</xdr:colOff>
      <xdr:row>51</xdr:row>
      <xdr:rowOff>164782</xdr:rowOff>
    </xdr:to>
    <xdr:graphicFrame macro="">
      <xdr:nvGraphicFramePr>
        <xdr:cNvPr id="9" name="3-Year MA Additions &amp; FD Capex"/>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36</xdr:row>
      <xdr:rowOff>4762</xdr:rowOff>
    </xdr:from>
    <xdr:to>
      <xdr:col>19</xdr:col>
      <xdr:colOff>243840</xdr:colOff>
      <xdr:row>51</xdr:row>
      <xdr:rowOff>164782</xdr:rowOff>
    </xdr:to>
    <xdr:graphicFrame macro="">
      <xdr:nvGraphicFramePr>
        <xdr:cNvPr id="10"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53</xdr:row>
      <xdr:rowOff>0</xdr:rowOff>
    </xdr:from>
    <xdr:to>
      <xdr:col>9</xdr:col>
      <xdr:colOff>243840</xdr:colOff>
      <xdr:row>68</xdr:row>
      <xdr:rowOff>160020</xdr:rowOff>
    </xdr:to>
    <xdr:graphicFrame macro="">
      <xdr:nvGraphicFramePr>
        <xdr:cNvPr id="12"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53</xdr:row>
      <xdr:rowOff>0</xdr:rowOff>
    </xdr:from>
    <xdr:to>
      <xdr:col>19</xdr:col>
      <xdr:colOff>243840</xdr:colOff>
      <xdr:row>68</xdr:row>
      <xdr:rowOff>160020</xdr:rowOff>
    </xdr:to>
    <xdr:graphicFrame macro="">
      <xdr:nvGraphicFramePr>
        <xdr:cNvPr id="13"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53</xdr:row>
      <xdr:rowOff>0</xdr:rowOff>
    </xdr:from>
    <xdr:to>
      <xdr:col>29</xdr:col>
      <xdr:colOff>243840</xdr:colOff>
      <xdr:row>68</xdr:row>
      <xdr:rowOff>160020</xdr:rowOff>
    </xdr:to>
    <xdr:graphicFrame macro="">
      <xdr:nvGraphicFramePr>
        <xdr:cNvPr id="14"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70</xdr:row>
      <xdr:rowOff>0</xdr:rowOff>
    </xdr:from>
    <xdr:to>
      <xdr:col>9</xdr:col>
      <xdr:colOff>243840</xdr:colOff>
      <xdr:row>85</xdr:row>
      <xdr:rowOff>160020</xdr:rowOff>
    </xdr:to>
    <xdr:graphicFrame macro="">
      <xdr:nvGraphicFramePr>
        <xdr:cNvPr id="15"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21</xdr:col>
      <xdr:colOff>0</xdr:colOff>
      <xdr:row>36</xdr:row>
      <xdr:rowOff>4762</xdr:rowOff>
    </xdr:from>
    <xdr:to>
      <xdr:col>29</xdr:col>
      <xdr:colOff>243840</xdr:colOff>
      <xdr:row>51</xdr:row>
      <xdr:rowOff>164782</xdr:rowOff>
    </xdr:to>
    <xdr:graphicFrame macro="">
      <xdr:nvGraphicFramePr>
        <xdr:cNvPr id="16"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70</xdr:row>
      <xdr:rowOff>0</xdr:rowOff>
    </xdr:from>
    <xdr:to>
      <xdr:col>19</xdr:col>
      <xdr:colOff>243840</xdr:colOff>
      <xdr:row>85</xdr:row>
      <xdr:rowOff>160020</xdr:rowOff>
    </xdr:to>
    <xdr:graphicFrame macro="">
      <xdr:nvGraphicFramePr>
        <xdr:cNvPr id="18"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21</xdr:col>
      <xdr:colOff>0</xdr:colOff>
      <xdr:row>70</xdr:row>
      <xdr:rowOff>0</xdr:rowOff>
    </xdr:from>
    <xdr:to>
      <xdr:col>29</xdr:col>
      <xdr:colOff>243840</xdr:colOff>
      <xdr:row>85</xdr:row>
      <xdr:rowOff>160020</xdr:rowOff>
    </xdr:to>
    <xdr:graphicFrame macro="">
      <xdr:nvGraphicFramePr>
        <xdr:cNvPr id="11"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87</xdr:row>
      <xdr:rowOff>0</xdr:rowOff>
    </xdr:from>
    <xdr:to>
      <xdr:col>9</xdr:col>
      <xdr:colOff>243840</xdr:colOff>
      <xdr:row>102</xdr:row>
      <xdr:rowOff>160020</xdr:rowOff>
    </xdr:to>
    <xdr:graphicFrame macro="">
      <xdr:nvGraphicFramePr>
        <xdr:cNvPr id="17"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87</xdr:row>
      <xdr:rowOff>0</xdr:rowOff>
    </xdr:from>
    <xdr:to>
      <xdr:col>19</xdr:col>
      <xdr:colOff>243840</xdr:colOff>
      <xdr:row>102</xdr:row>
      <xdr:rowOff>160020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4" y="0"/>
          <a:ext cx="5111116"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Realized NGL Prices vs. EIA</a:t>
          </a:r>
          <a:r>
            <a:rPr lang="en-US" sz="1600" b="1" baseline="0"/>
            <a:t> NGL Benchmark</a:t>
          </a:r>
        </a:p>
      </cdr:txBody>
    </cdr:sp>
  </cdr:relSizeAnchor>
</c:userShapes>
</file>

<file path=xl/drawings/drawing21.xml><?xml version="1.0" encoding="utf-8"?>
<xdr:wsDr xmlns:xdr="http://schemas.openxmlformats.org/drawingml/2006/spreadsheetDrawing" xmlns:a="http://schemas.openxmlformats.org/drawingml/2006/main">
  <xdr:twoCellAnchor>
    <xdr:from>
      <xdr:col>6</xdr:col>
      <xdr:colOff>781050</xdr:colOff>
      <xdr:row>30</xdr:row>
      <xdr:rowOff>176212</xdr:rowOff>
    </xdr:from>
    <xdr:to>
      <xdr:col>16</xdr:col>
      <xdr:colOff>152400</xdr:colOff>
      <xdr:row>47</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0.00744</cdr:x>
      <cdr:y>0</cdr:y>
    </cdr:from>
    <cdr:to>
      <cdr:x>1</cdr:x>
      <cdr:y>0.09154</cdr:y>
    </cdr:to>
    <cdr:sp macro="" textlink="">
      <cdr:nvSpPr>
        <cdr:cNvPr id="2" name="TextBox 1"/>
        <cdr:cNvSpPr txBox="1"/>
      </cdr:nvSpPr>
      <cdr:spPr>
        <a:xfrm xmlns:a="http://schemas.openxmlformats.org/drawingml/2006/main">
          <a:off x="38100" y="0"/>
          <a:ext cx="5082540" cy="276225"/>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An</a:t>
          </a:r>
          <a:r>
            <a:rPr lang="en-US" sz="1600" b="1" baseline="0"/>
            <a:t> Equivalent Barrel</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1</cdr:x>
      <cdr:y>0.09154</cdr:y>
    </cdr:to>
    <cdr:sp macro="" textlink="">
      <cdr:nvSpPr>
        <cdr:cNvPr id="2" name="TextBox 1"/>
        <cdr:cNvSpPr txBox="1"/>
      </cdr:nvSpPr>
      <cdr:spPr>
        <a:xfrm xmlns:a="http://schemas.openxmlformats.org/drawingml/2006/main">
          <a:off x="0" y="0"/>
          <a:ext cx="5082540" cy="276225"/>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en-US" sz="1600" b="1"/>
            <a:t>Cost Stack with 10% Return ($/BOE)</a:t>
          </a:r>
        </a:p>
      </cdr:txBody>
    </cdr:sp>
  </cdr:relSizeAnchor>
</c:userShapes>
</file>

<file path=xl/drawings/drawing5.xml><?xml version="1.0" encoding="utf-8"?>
<c:userShapes xmlns:c="http://schemas.openxmlformats.org/drawingml/2006/chart">
  <cdr:relSizeAnchor xmlns:cdr="http://schemas.openxmlformats.org/drawingml/2006/chartDrawing">
    <cdr:from>
      <cdr:x>0.00083</cdr:x>
      <cdr:y>0</cdr:y>
    </cdr:from>
    <cdr:to>
      <cdr:x>1</cdr:x>
      <cdr:y>0.09154</cdr:y>
    </cdr:to>
    <cdr:sp macro="" textlink="">
      <cdr:nvSpPr>
        <cdr:cNvPr id="3" name="TextBox 1"/>
        <cdr:cNvSpPr txBox="1"/>
      </cdr:nvSpPr>
      <cdr:spPr>
        <a:xfrm xmlns:a="http://schemas.openxmlformats.org/drawingml/2006/main">
          <a:off x="4222" y="0"/>
          <a:ext cx="5082551"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Cost Stack with Return Equal to FD Capex ($/BOE)</a:t>
          </a:r>
          <a:endParaRPr lang="en-US" sz="1600" b="1" baseline="0"/>
        </a:p>
      </cdr:txBody>
    </cdr:sp>
  </cdr:relSizeAnchor>
</c:userShapes>
</file>

<file path=xl/drawings/drawing6.xml><?xml version="1.0" encoding="utf-8"?>
<c:userShapes xmlns:c="http://schemas.openxmlformats.org/drawingml/2006/chart">
  <cdr:relSizeAnchor xmlns:cdr="http://schemas.openxmlformats.org/drawingml/2006/chartDrawing">
    <cdr:from>
      <cdr:x>0.00083</cdr:x>
      <cdr:y>0</cdr:y>
    </cdr:from>
    <cdr:to>
      <cdr:x>1</cdr:x>
      <cdr:y>0.09154</cdr:y>
    </cdr:to>
    <cdr:sp macro="" textlink="">
      <cdr:nvSpPr>
        <cdr:cNvPr id="3" name="TextBox 1"/>
        <cdr:cNvSpPr txBox="1"/>
      </cdr:nvSpPr>
      <cdr:spPr>
        <a:xfrm xmlns:a="http://schemas.openxmlformats.org/drawingml/2006/main">
          <a:off x="4250" y="0"/>
          <a:ext cx="5116390"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Cost Stack with 10% Return ($/BCFE)</a:t>
          </a:r>
          <a:endParaRPr lang="en-US" sz="1600" b="1" baseline="0"/>
        </a:p>
      </cdr:txBody>
    </cdr:sp>
  </cdr:relSizeAnchor>
</c:userShapes>
</file>

<file path=xl/drawings/drawing7.xml><?xml version="1.0" encoding="utf-8"?>
<c:userShapes xmlns:c="http://schemas.openxmlformats.org/drawingml/2006/chart">
  <cdr:relSizeAnchor xmlns:cdr="http://schemas.openxmlformats.org/drawingml/2006/chartDrawing">
    <cdr:from>
      <cdr:x>0.00083</cdr:x>
      <cdr:y>0</cdr:y>
    </cdr:from>
    <cdr:to>
      <cdr:x>1</cdr:x>
      <cdr:y>0.09154</cdr:y>
    </cdr:to>
    <cdr:sp macro="" textlink="">
      <cdr:nvSpPr>
        <cdr:cNvPr id="3" name="TextBox 1"/>
        <cdr:cNvSpPr txBox="1"/>
      </cdr:nvSpPr>
      <cdr:spPr>
        <a:xfrm xmlns:a="http://schemas.openxmlformats.org/drawingml/2006/main">
          <a:off x="4250" y="0"/>
          <a:ext cx="5116390" cy="276224"/>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Cost Stack </a:t>
          </a:r>
          <a:r>
            <a:rPr lang="en-US" sz="1600" b="1">
              <a:effectLst/>
              <a:latin typeface="+mn-lt"/>
              <a:ea typeface="+mn-ea"/>
              <a:cs typeface="+mn-cs"/>
            </a:rPr>
            <a:t>with Return Equal to FD Capex ($/BCFE)</a:t>
          </a:r>
          <a:endParaRPr lang="en-US" sz="1600" b="1">
            <a:effectLst/>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5" y="0"/>
          <a:ext cx="5111115" cy="276225"/>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3-Year MA Reserve Additions &amp; FD Capex</a:t>
          </a:r>
          <a:endParaRPr lang="en-US" sz="1600" b="1" baseline="0"/>
        </a:p>
      </cdr:txBody>
    </cdr:sp>
  </cdr:relSizeAnchor>
</c:userShapes>
</file>

<file path=xl/drawings/drawing9.xml><?xml version="1.0" encoding="utf-8"?>
<c:userShapes xmlns:c="http://schemas.openxmlformats.org/drawingml/2006/chart">
  <cdr:relSizeAnchor xmlns:cdr="http://schemas.openxmlformats.org/drawingml/2006/chartDrawing">
    <cdr:from>
      <cdr:x>0.00186</cdr:x>
      <cdr:y>0</cdr:y>
    </cdr:from>
    <cdr:to>
      <cdr:x>1</cdr:x>
      <cdr:y>0.09154</cdr:y>
    </cdr:to>
    <cdr:sp macro="" textlink="">
      <cdr:nvSpPr>
        <cdr:cNvPr id="2" name="TextBox 1"/>
        <cdr:cNvSpPr txBox="1"/>
      </cdr:nvSpPr>
      <cdr:spPr>
        <a:xfrm xmlns:a="http://schemas.openxmlformats.org/drawingml/2006/main">
          <a:off x="9525" y="0"/>
          <a:ext cx="5111115" cy="276225"/>
        </a:xfrm>
        <a:prstGeom xmlns:a="http://schemas.openxmlformats.org/drawingml/2006/main" prst="rect">
          <a:avLst/>
        </a:prstGeom>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t>Annual Capex Spending in the US</a:t>
          </a:r>
          <a:endParaRPr lang="en-US" sz="1600" b="1" baseline="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Danny Quijano" refreshedDate="42872.469137962966" createdVersion="5" refreshedVersion="5" minRefreshableVersion="3" recordCount="160">
  <cacheSource type="worksheet">
    <worksheetSource ref="A2:CQ162" sheet="Data"/>
  </cacheSource>
  <cacheFields count="104">
    <cacheField name="Company" numFmtId="0">
      <sharedItems/>
    </cacheField>
    <cacheField name="CUSIP" numFmtId="0">
      <sharedItems/>
    </cacheField>
    <cacheField name="Year" numFmtId="0">
      <sharedItems containsSemiMixedTypes="0" containsString="0" containsNumber="1" containsInteger="1" minValue="2007" maxValue="2016" count="10">
        <n v="2007"/>
        <n v="2008"/>
        <n v="2009"/>
        <n v="2010"/>
        <n v="2011"/>
        <n v="2012"/>
        <n v="2013"/>
        <n v="2014"/>
        <n v="2015"/>
        <n v="2016"/>
      </sharedItems>
    </cacheField>
    <cacheField name="US Natural Gas Production  (BCF)" numFmtId="165">
      <sharedItems containsSemiMixedTypes="0" containsString="0" containsNumber="1" minValue="12.064" maxValue="1129"/>
    </cacheField>
    <cacheField name="US Oil and Liquids Production (MMB)" numFmtId="0">
      <sharedItems containsSemiMixedTypes="0" containsString="0" containsNumber="1" minValue="8.3000000000000004E-2" maxValue="166"/>
    </cacheField>
    <cacheField name="US NGL Production (MMB)" numFmtId="165">
      <sharedItems containsString="0" containsBlank="1" containsNumber="1" minValue="0" maxValue="50"/>
    </cacheField>
    <cacheField name="US Total Production (MMBOE)" numFmtId="165">
      <sharedItems containsSemiMixedTypes="0" containsString="0" containsNumber="1" minValue="5.0246666666666666" maxValue="324"/>
    </cacheField>
    <cacheField name="US Total Production (BCFE)" numFmtId="165">
      <sharedItems containsSemiMixedTypes="0" containsString="0" containsNumber="1" minValue="30.148" maxValue="1944"/>
    </cacheField>
    <cacheField name="Foreign Natural Gas Production (BCF)" numFmtId="165">
      <sharedItems containsSemiMixedTypes="0" containsString="0" containsNumber="1" minValue="0" maxValue="1108"/>
    </cacheField>
    <cacheField name="Foreign Oil &amp; Liquids Production (MMBOE)" numFmtId="165">
      <sharedItems containsSemiMixedTypes="0" containsString="0" containsNumber="1" minValue="0" maxValue="188"/>
    </cacheField>
    <cacheField name="Foreign NGL Production (MMB)" numFmtId="165">
      <sharedItems containsString="0" containsBlank="1" containsNumber="1" minValue="0" maxValue="84"/>
    </cacheField>
    <cacheField name="Foreign Total Production (MMBOE)" numFmtId="165">
      <sharedItems containsSemiMixedTypes="0" containsString="0" containsNumber="1" minValue="0" maxValue="364"/>
    </cacheField>
    <cacheField name="Foreign Total Production (BCFE)" numFmtId="165">
      <sharedItems containsSemiMixedTypes="0" containsString="0" containsNumber="1" minValue="0" maxValue="2184"/>
    </cacheField>
    <cacheField name="Worldwide Production (MMBOE)" numFmtId="165">
      <sharedItems containsSemiMixedTypes="0" containsString="0" containsNumber="1" minValue="5.0246666666666666" maxValue="668.5"/>
    </cacheField>
    <cacheField name="Worldwide Production (BCFE)" numFmtId="165">
      <sharedItems containsSemiMixedTypes="0" containsString="0" containsNumber="1" minValue="30.148" maxValue="4011"/>
    </cacheField>
    <cacheField name="% US Production" numFmtId="164">
      <sharedItems containsSemiMixedTypes="0" containsString="0" containsNumber="1" minValue="0.14519906323185011" maxValue="1"/>
    </cacheField>
    <cacheField name="% US Natural Gas Production" numFmtId="164">
      <sharedItems containsSemiMixedTypes="0" containsString="0" containsNumber="1" minValue="0.15625" maxValue="0.99911855598939425"/>
    </cacheField>
    <cacheField name="% US Oil &amp; Liquids Production" numFmtId="164">
      <sharedItems containsSemiMixedTypes="0" containsString="0" containsNumber="1" minValue="8.8144401060564765E-4" maxValue="0.84375"/>
    </cacheField>
    <cacheField name="%US NGL Production" numFmtId="164">
      <sharedItems containsSemiMixedTypes="0" containsString="0" containsNumber="1" minValue="0" maxValue="0.29580047517721703"/>
    </cacheField>
    <cacheField name="Oil US PUDs MMB" numFmtId="3">
      <sharedItems containsSemiMixedTypes="0" containsString="0" containsNumber="1" minValue="0" maxValue="1643"/>
    </cacheField>
    <cacheField name="NGL US PUDs MMB" numFmtId="0">
      <sharedItems containsSemiMixedTypes="0" containsString="0" containsNumber="1" minValue="0" maxValue="266.214"/>
    </cacheField>
    <cacheField name="Gas US PUDs BCF" numFmtId="0">
      <sharedItems containsSemiMixedTypes="0" containsString="0" containsNumber="1" minValue="48.868000000000002" maxValue="7209"/>
    </cacheField>
    <cacheField name="US PUDs (BCFE)" numFmtId="165">
      <sharedItems containsSemiMixedTypes="0" containsString="0" containsNumber="1" minValue="77" maxValue="10374.578"/>
    </cacheField>
    <cacheField name="Change in PUDs yoy (BCFE)" numFmtId="165">
      <sharedItems containsString="0" containsBlank="1" containsNumber="1" minValue="-8605.42" maxValue="3968.4219999999996"/>
    </cacheField>
    <cacheField name="US PUDs (MMBOE)" numFmtId="165">
      <sharedItems containsSemiMixedTypes="0" containsString="0" containsNumber="1" minValue="12.833333333333334" maxValue="1729.0963333333334"/>
    </cacheField>
    <cacheField name="Change in PUDs yoy (MMBOE)" numFmtId="165">
      <sharedItems containsString="0" containsBlank="1" containsNumber="1" minValue="-1434.2366666666667" maxValue="661.4036666666666"/>
    </cacheField>
    <cacheField name="%Change in PUDs" numFmtId="0">
      <sharedItems containsString="0" containsBlank="1" containsNumber="1" minValue="-0.90762022612399906" maxValue="4.7985755743651746"/>
    </cacheField>
    <cacheField name="Comments" numFmtId="0">
      <sharedItems containsBlank="1"/>
    </cacheField>
    <cacheField name="Revisions (BCF)" numFmtId="1">
      <sharedItems containsSemiMixedTypes="0" containsString="0" containsNumber="1" minValue="-6080" maxValue="1299"/>
    </cacheField>
    <cacheField name="Extensions, Discoveries, &amp; Other Additions (BCF)" numFmtId="1">
      <sharedItems containsSemiMixedTypes="0" containsString="0" containsNumber="1" minValue="0" maxValue="4678"/>
    </cacheField>
    <cacheField name="Purchases (BCF)" numFmtId="1">
      <sharedItems containsSemiMixedTypes="0" containsString="0" containsNumber="1" minValue="0" maxValue="1367"/>
    </cacheField>
    <cacheField name="Improved Recovery (BCF)" numFmtId="1">
      <sharedItems containsSemiMixedTypes="0" containsString="0" containsNumber="1" containsInteger="1" minValue="0" maxValue="406"/>
    </cacheField>
    <cacheField name="US Natural Gas Addition (BCF)" numFmtId="1">
      <sharedItems containsSemiMixedTypes="0" containsString="0" containsNumber="1" minValue="-3386" maxValue="4296"/>
    </cacheField>
    <cacheField name="Revisions (MMB)" numFmtId="1">
      <sharedItems containsSemiMixedTypes="0" containsString="0" containsNumber="1" minValue="-246.84" maxValue="515"/>
    </cacheField>
    <cacheField name="Extensions, Discoveries, &amp; Other Additions (MMB)" numFmtId="1">
      <sharedItems containsSemiMixedTypes="0" containsString="0" containsNumber="1" minValue="-0.125" maxValue="374"/>
    </cacheField>
    <cacheField name="Purchases (MMB)" numFmtId="1">
      <sharedItems containsSemiMixedTypes="0" containsString="0" containsNumber="1" minValue="0" maxValue="148.19999999999999"/>
    </cacheField>
    <cacheField name="Improved Recovery (MMB)" numFmtId="1">
      <sharedItems containsSemiMixedTypes="0" containsString="0" containsNumber="1" minValue="0" maxValue="224"/>
    </cacheField>
    <cacheField name="US Oil, Condensate Addition (MMB)" numFmtId="1">
      <sharedItems containsSemiMixedTypes="0" containsString="0" containsNumber="1" minValue="-160.00400000000002" maxValue="527.93600000000004"/>
    </cacheField>
    <cacheField name="Revisions (MMB)2" numFmtId="1">
      <sharedItems containsSemiMixedTypes="0" containsString="0" containsNumber="1" minValue="-125" maxValue="129"/>
    </cacheField>
    <cacheField name="Extensions, Discoveries, &amp; Other Additions (MMB)2" numFmtId="1">
      <sharedItems containsSemiMixedTypes="0" containsString="0" containsNumber="1" minValue="0" maxValue="524"/>
    </cacheField>
    <cacheField name="Purchases (MMB)2" numFmtId="1">
      <sharedItems containsSemiMixedTypes="0" containsString="0" containsNumber="1" minValue="0" maxValue="118.816"/>
    </cacheField>
    <cacheField name="Improved Recovery (MMB)2" numFmtId="1">
      <sharedItems containsSemiMixedTypes="0" containsString="0" containsNumber="1" containsInteger="1" minValue="0" maxValue="28"/>
    </cacheField>
    <cacheField name="US NGL Additions (MMB)" numFmtId="1">
      <sharedItems containsSemiMixedTypes="0" containsString="0" containsNumber="1" minValue="-100" maxValue="493.1"/>
    </cacheField>
    <cacheField name="US All Source Additions (BCFE)" numFmtId="1">
      <sharedItems containsSemiMixedTypes="0" containsString="0" containsNumber="1" minValue="-3922.4" maxValue="5839.2509999999993"/>
    </cacheField>
    <cacheField name="US All Source Additions (MMBOE)" numFmtId="1">
      <sharedItems containsSemiMixedTypes="0" containsString="0" containsNumber="1" minValue="-653.73333333333335" maxValue="973.20850000000007"/>
    </cacheField>
    <cacheField name="US Unproved Property Acquisitions ($MM)" numFmtId="2">
      <sharedItems containsSemiMixedTypes="0" containsString="0" containsNumber="1" minValue="0" maxValue="8263"/>
    </cacheField>
    <cacheField name="US Proved Property Acquisitions ($MM)" numFmtId="2">
      <sharedItems containsSemiMixedTypes="0" containsString="0" containsNumber="1" minValue="0" maxValue="5604"/>
    </cacheField>
    <cacheField name="US Exploration ($MM)" numFmtId="2">
      <sharedItems containsSemiMixedTypes="0" containsString="0" containsNumber="1" minValue="0" maxValue="2353"/>
    </cacheField>
    <cacheField name="US Development ($MM)" numFmtId="2">
      <sharedItems containsSemiMixedTypes="0" containsString="0" containsNumber="1" minValue="64.209000000000003" maxValue="6489.192"/>
    </cacheField>
    <cacheField name="US Total Capital ($MM)" numFmtId="44">
      <sharedItems containsSemiMixedTypes="0" containsString="0" containsNumber="1" minValue="187.52100000000002" maxValue="14729"/>
    </cacheField>
    <cacheField name="3-Year Moving Sum FD Costs ($MM)" numFmtId="165">
      <sharedItems containsString="0" containsBlank="1" containsNumber="1" minValue="1933.42" maxValue="36012"/>
    </cacheField>
    <cacheField name="3-Year Moving Sum Total Additions (MMBOE)" numFmtId="165">
      <sharedItems containsString="0" containsBlank="1" containsNumber="1" minValue="-155.32516666666663" maxValue="2393.7666666666669"/>
    </cacheField>
    <cacheField name="3-Year Moving Sum Total Additions (BCFE)" numFmtId="165">
      <sharedItems containsString="0" containsBlank="1" containsNumber="1" minValue="-931.95100000000025" maxValue="14362.6"/>
    </cacheField>
    <cacheField name="3-Year Average US FD ($/BOE)" numFmtId="0">
      <sharedItems containsString="0" containsBlank="1" containsNumber="1" minValue="-158.07340349874681" maxValue="128.72017353579184"/>
    </cacheField>
    <cacheField name="3-Year Average US FD ($/MCFE)" numFmtId="44">
      <sharedItems containsString="0" containsBlank="1" containsNumber="1" minValue="-26.345567249791124" maxValue="21.453362255965299"/>
    </cacheField>
    <cacheField name="Comments2" numFmtId="0">
      <sharedItems containsBlank="1" longText="1"/>
    </cacheField>
    <cacheField name="US Production Costs ($MM)" numFmtId="165">
      <sharedItems containsString="0" containsBlank="1" containsNumber="1" minValue="56.048000000000002" maxValue="4346"/>
    </cacheField>
    <cacheField name="Unadjusted G&amp;A and Marketing ($MM)" numFmtId="0">
      <sharedItems containsString="0" containsBlank="1" containsNumber="1" minValue="0" maxValue="2901"/>
    </cacheField>
    <cacheField name="US E&amp;P G&amp;A and Marketing ($MM)" numFmtId="165">
      <sharedItems containsString="0" containsBlank="1" containsNumber="1" minValue="0" maxValue="711"/>
    </cacheField>
    <cacheField name="Adjusted US Upstream G&amp;A and Marketing ($MM)" numFmtId="165">
      <sharedItems containsString="0" containsBlank="1" containsNumber="1" minValue="39.978945777729635" maxValue="891.1054717386379"/>
    </cacheField>
    <cacheField name="Unadjusted Cash Income Tax Expense (Benefit) ($MM)" numFmtId="0">
      <sharedItems containsString="0" containsBlank="1" containsNumber="1" minValue="-882" maxValue="9827"/>
    </cacheField>
    <cacheField name="US E&amp;P Cash Income Tax Expense (Benefit) ($MM)" numFmtId="165">
      <sharedItems containsString="0" containsBlank="1" containsNumber="1" minValue="-1.359" maxValue="77.028999999999996"/>
    </cacheField>
    <cacheField name="Adjusted US Upstream Cash Income Taxes  ($MM)" numFmtId="165">
      <sharedItems containsString="0" containsBlank="1" containsNumber="1" minValue="-662.47030884280582" maxValue="4625.5293040293036"/>
    </cacheField>
    <cacheField name="Unadjusted Non-Income Taxes ($MM)" numFmtId="0">
      <sharedItems containsString="0" containsBlank="1" containsNumber="1" containsInteger="1" minValue="0" maxValue="0"/>
    </cacheField>
    <cacheField name="US E&amp;P Non-Income Taxes ($MM)" numFmtId="0">
      <sharedItems containsString="0" containsBlank="1" containsNumber="1" minValue="0" maxValue="3241"/>
    </cacheField>
    <cacheField name="Adjusted US Upstream Non-Income Taxes ($MM)" numFmtId="165">
      <sharedItems containsString="0" containsBlank="1" containsNumber="1" minValue="0" maxValue="3241"/>
    </cacheField>
    <cacheField name="Unadjusted Interest Expense MM$" numFmtId="0">
      <sharedItems containsString="0" containsBlank="1" containsNumber="1" minValue="0" maxValue="1776"/>
    </cacheField>
    <cacheField name="Total US E&amp;P Interest Expense MM$" numFmtId="165">
      <sharedItems containsString="0" containsBlank="1" containsNumber="1" minValue="0" maxValue="232.173"/>
    </cacheField>
    <cacheField name="Adjusted US Upstream Total Interest Expense (MM$)" numFmtId="165">
      <sharedItems containsString="0" containsBlank="1" containsNumber="1" minValue="14.862" maxValue="800.39718744399659"/>
    </cacheField>
    <cacheField name="E&amp;P Revenue ($MM)" numFmtId="0">
      <sharedItems containsSemiMixedTypes="0" containsString="0" containsNumber="1" minValue="0" maxValue="64196"/>
    </cacheField>
    <cacheField name="Total Revenue ($MM)" numFmtId="0">
      <sharedItems containsSemiMixedTypes="0" containsString="0" containsNumber="1" minValue="0" maxValue="64196"/>
    </cacheField>
    <cacheField name="US E&amp;P Factor" numFmtId="0">
      <sharedItems containsString="0" containsBlank="1" containsNumber="1" minValue="0.12040625878133787" maxValue="1"/>
    </cacheField>
    <cacheField name="US Cash Costs ($MM)" numFmtId="3">
      <sharedItems containsString="0" containsBlank="1" containsNumber="1" minValue="172.99099999999999" maxValue="12266.424908424908"/>
    </cacheField>
    <cacheField name="US Cash Cost ($/BOE)" numFmtId="44">
      <sharedItems containsString="0" containsBlank="1" containsNumber="1" minValue="6.7564745396408483" maxValue="73.740320082601968"/>
    </cacheField>
    <cacheField name="US Cash Cost ($/MCFE)" numFmtId="44">
      <sharedItems containsString="0" containsBlank="1" containsNumber="1" minValue="1.1260790899401414" maxValue="12.290053347100327"/>
    </cacheField>
    <cacheField name="Comments3" numFmtId="0">
      <sharedItems containsBlank="1"/>
    </cacheField>
    <cacheField name="Total Capital + Cash Costs $MM" numFmtId="0">
      <sharedItems containsString="0" containsBlank="1" containsNumber="1" minValue="631.10513191921382" maxValue="18323.956969130028"/>
    </cacheField>
    <cacheField name="10% Return $MM" numFmtId="0">
      <sharedItems containsString="0" containsBlank="1" containsNumber="1" minValue="63.110513191921385" maxValue="1832.3956969130029"/>
    </cacheField>
    <cacheField name="10% Return as a % of Capex" numFmtId="0">
      <sharedItems containsString="0" containsBlank="1" containsNumber="1" minValue="0" maxValue="0.3537006185816941"/>
    </cacheField>
    <cacheField name="10% Return/BOE" numFmtId="0">
      <sharedItems containsString="0" containsBlank="1" containsNumber="1" minValue="1.0466412587432552" maxValue="19.067767571831407"/>
    </cacheField>
    <cacheField name="10% Return $/MCFE" numFmtId="0">
      <sharedItems containsString="0" containsBlank="1" containsNumber="1" minValue="0.17444020979054253" maxValue="3.1779612619719018"/>
    </cacheField>
    <cacheField name="FD Return ($/BOE)" numFmtId="0">
      <sharedItems containsString="0" containsBlank="1" containsNumber="1" minValue="3.7099380477917037" maxValue="152.3242490764041"/>
    </cacheField>
    <cacheField name="FD Return ($/MCFE)" numFmtId="0">
      <sharedItems containsString="0" containsBlank="1" containsNumber="1" minValue="0.61832300796528394" maxValue="25.387374846067353"/>
    </cacheField>
    <cacheField name="3 yr avg FD Cost + Cash Costs Before Return $/BOE" numFmtId="0">
      <sharedItems containsString="0" containsBlank="1" containsNumber="1" minValue="-139.86842556833577" maxValue="146.3431105379704"/>
    </cacheField>
    <cacheField name="3 yr avg US Breakeven Cost  After 10% Return $/BOE" numFmtId="0">
      <sharedItems containsString="0" containsBlank="1" containsNumber="1" minValue="-135.35805469976066" maxValue="150.76381321364767"/>
    </cacheField>
    <cacheField name="3 yr avg US Breakeven Cost After FD Return ($/BOE)" numFmtId="0">
      <sharedItems containsString="0" containsBlank="1" containsNumber="1" minValue="-121.69855517535055" maxValue="275.1290778019806"/>
    </cacheField>
    <cacheField name="3 yr avg US Breakeven Cost  Before Return $/MCFE" numFmtId="0">
      <sharedItems containsString="0" containsBlank="1" containsNumber="1" minValue="-23.311404261389281" maxValue="24.390518422995058"/>
    </cacheField>
    <cacheField name="3 yr avg US Breakeven Cost  After 10% Return $/MCFE" numFmtId="0">
      <sharedItems containsString="0" containsBlank="1" containsNumber="1" minValue="-22.559675783293429" maxValue="25.127302202274624"/>
    </cacheField>
    <cacheField name="3 yr avg US Breakeven Cost After FD Return ($/MCFE)" numFmtId="0">
      <sharedItems containsString="0" containsBlank="1" containsNumber="1" minValue="-20.283092529225108" maxValue="45.854846300330095"/>
    </cacheField>
    <cacheField name="Henry Hub Spot Price $4/MCF" numFmtId="0">
      <sharedItems containsString="0" containsBlank="1" containsNumber="1" containsInteger="1" minValue="4" maxValue="5"/>
    </cacheField>
    <cacheField name="10% Return per BOE (Weighted w/ adds &amp; prod)" numFmtId="0">
      <sharedItems containsString="0" containsBlank="1" containsNumber="1" minValue="-13.986842556833576" maxValue="14.63431105379704"/>
    </cacheField>
    <cacheField name="10% Return per BOE (weighted w/ adds &amp; prod) net" numFmtId="0">
      <sharedItems containsString="0" containsBlank="1" containsNumber="1" minValue="-3422.417217835417" maxValue="1973.3740874481575"/>
    </cacheField>
    <cacheField name="10% Return per BOE (weighted w/ adds &amp; prod) /F&amp;D" numFmtId="0">
      <sharedItems containsString="0" containsBlank="1" containsNumber="1" minValue="-1.4260071740980904" maxValue="1.0291567887982886"/>
    </cacheField>
    <cacheField name="Suspended Exploration Costs ($ MM)" numFmtId="165">
      <sharedItems containsString="0" containsBlank="1" containsNumber="1" minValue="0" maxValue="2259"/>
    </cacheField>
    <cacheField name="Costs Excluded From FC Amort. Pool ($ MM)" numFmtId="165">
      <sharedItems containsString="0" containsBlank="1" containsNumber="1" minValue="458" maxValue="16685"/>
    </cacheField>
    <cacheField name="Interest:Cash Costs" numFmtId="0" formula="'Adjusted US Upstream Total Interest Expense (MM$)'/'US Cash Costs ($MM)'" databaseField="0"/>
    <cacheField name="3-Year Moving Average FD Costs per Additions (BOE)" numFmtId="0" formula="'3-Year Moving Sum FD Costs ($MM)'/'3-Year Moving Sum Total Additions (MMBOE)'" databaseField="0"/>
    <cacheField name="Cash Costs per Bbl of Production ($/BOE)" numFmtId="0" formula="'US Cash Costs ($MM)'/'US Total Production (MMBOE)'" databaseField="0"/>
    <cacheField name="Return of FD Costs" numFmtId="0" formula="'US Total Capital ($MM)'/'US Total Production (MMBOE)'" databaseField="0"/>
    <cacheField name="Natural Gas Split" numFmtId="0" formula="'US Natural Gas Production  (BCF)'/'US Total Production (BCFE)'" databaseField="0"/>
    <cacheField name="Total Revisions (MMBOE)" numFmtId="0" formula="('Revisions (BCF)'/6)+'Revisions (MMB)'+'Revisions (MMB)2'" databaseField="0"/>
    <cacheField name="Extensions &amp; Discoveries (MMBOE)" numFmtId="0" formula="('Extensions, Discoveries, &amp; Other Additions (BCF)'/6)+'Extensions, Discoveries, &amp; Other Additions (MMB)'+'Extensions, Discoveries, &amp; Other Additions (MMB)2'" databaseField="0"/>
    <cacheField name="Improved Recovery (MMBOE)" numFmtId="0" formula="('Improved Recovery (BCF)'/6)+'Improved Recovery (MMB)'+'Improved Recovery (MMB)2'" databaseField="0"/>
    <cacheField name="Purchases of Reserves (MMBOE)" numFmtId="0" formula="('Purchases (BCF)'/6)+'Purchases (MMB)'+'Purchases (MMB)2'"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ny Quijano" refreshedDate="42872.469138078704" createdVersion="5" refreshedVersion="5" minRefreshableVersion="3" recordCount="160">
  <cacheSource type="worksheet">
    <worksheetSource ref="A2:EZ162" sheet="Data"/>
  </cacheSource>
  <cacheFields count="159">
    <cacheField name="Company" numFmtId="0">
      <sharedItems count="19">
        <s v="Anadarko Petroleum"/>
        <s v="Apache Corp"/>
        <s v="Cabot Oil &amp; Gas"/>
        <s v="Chesapeake Energy"/>
        <s v="Concho"/>
        <s v="Conoco Phillips"/>
        <s v="Continental"/>
        <s v="Devon Energy"/>
        <s v="Encana"/>
        <s v="EOG Resources"/>
        <s v="Hess"/>
        <s v="Marathon"/>
        <s v="Occidental Petroeum"/>
        <s v="Pioneer Natural Resources"/>
        <s v="Range Resources"/>
        <s v="Southwestern Energy"/>
        <s v="Exxon Mobil" u="1"/>
        <s v="Chevron" u="1"/>
        <s v="Ultra Petroleum" u="1"/>
      </sharedItems>
    </cacheField>
    <cacheField name="CUSIP" numFmtId="0">
      <sharedItems/>
    </cacheField>
    <cacheField name="Year" numFmtId="0">
      <sharedItems containsSemiMixedTypes="0" containsString="0" containsNumber="1" containsInteger="1" minValue="2007" maxValue="2016" count="10">
        <n v="2007"/>
        <n v="2008"/>
        <n v="2009"/>
        <n v="2010"/>
        <n v="2011"/>
        <n v="2012"/>
        <n v="2013"/>
        <n v="2014"/>
        <n v="2015"/>
        <n v="2016"/>
      </sharedItems>
    </cacheField>
    <cacheField name="US Natural Gas Production  (BCF)" numFmtId="165">
      <sharedItems containsSemiMixedTypes="0" containsString="0" containsNumber="1" minValue="12.064" maxValue="1129"/>
    </cacheField>
    <cacheField name="US Oil and Liquids Production (MMB)" numFmtId="0">
      <sharedItems containsSemiMixedTypes="0" containsString="0" containsNumber="1" minValue="8.3000000000000004E-2" maxValue="166"/>
    </cacheField>
    <cacheField name="US NGL Production (MMB)" numFmtId="165">
      <sharedItems containsString="0" containsBlank="1" containsNumber="1" minValue="0" maxValue="50"/>
    </cacheField>
    <cacheField name="US Total Production (MMBOE)" numFmtId="165">
      <sharedItems containsSemiMixedTypes="0" containsString="0" containsNumber="1" minValue="5.0246666666666666" maxValue="324"/>
    </cacheField>
    <cacheField name="US Total Production (BCFE)" numFmtId="165">
      <sharedItems containsSemiMixedTypes="0" containsString="0" containsNumber="1" minValue="30.148" maxValue="1944"/>
    </cacheField>
    <cacheField name="Foreign Natural Gas Production (BCF)" numFmtId="165">
      <sharedItems containsSemiMixedTypes="0" containsString="0" containsNumber="1" minValue="0" maxValue="1108"/>
    </cacheField>
    <cacheField name="Foreign Oil &amp; Liquids Production (MMBOE)" numFmtId="165">
      <sharedItems containsSemiMixedTypes="0" containsString="0" containsNumber="1" minValue="0" maxValue="188"/>
    </cacheField>
    <cacheField name="Foreign NGL Production (MMB)" numFmtId="165">
      <sharedItems containsString="0" containsBlank="1" containsNumber="1" minValue="0" maxValue="84"/>
    </cacheField>
    <cacheField name="Foreign Total Production (MMBOE)" numFmtId="165">
      <sharedItems containsSemiMixedTypes="0" containsString="0" containsNumber="1" minValue="0" maxValue="364"/>
    </cacheField>
    <cacheField name="Foreign Total Production (BCFE)" numFmtId="165">
      <sharedItems containsSemiMixedTypes="0" containsString="0" containsNumber="1" minValue="0" maxValue="2184"/>
    </cacheField>
    <cacheField name="Worldwide Production (MMBOE)" numFmtId="165">
      <sharedItems containsSemiMixedTypes="0" containsString="0" containsNumber="1" minValue="5.0246666666666666" maxValue="668.5"/>
    </cacheField>
    <cacheField name="Worldwide Production (BCFE)" numFmtId="165">
      <sharedItems containsSemiMixedTypes="0" containsString="0" containsNumber="1" minValue="30.148" maxValue="4011"/>
    </cacheField>
    <cacheField name="% US Production" numFmtId="164">
      <sharedItems containsSemiMixedTypes="0" containsString="0" containsNumber="1" minValue="0.14519906323185011" maxValue="1"/>
    </cacheField>
    <cacheField name="% US Natural Gas Production" numFmtId="164">
      <sharedItems containsSemiMixedTypes="0" containsString="0" containsNumber="1" minValue="0.15625" maxValue="0.99911855598939425"/>
    </cacheField>
    <cacheField name="% US Oil &amp; Liquids Production" numFmtId="164">
      <sharedItems containsSemiMixedTypes="0" containsString="0" containsNumber="1" minValue="8.8144401060564765E-4" maxValue="0.84375"/>
    </cacheField>
    <cacheField name="%US NGL Production" numFmtId="164">
      <sharedItems containsSemiMixedTypes="0" containsString="0" containsNumber="1" minValue="0" maxValue="0.29580047517721703"/>
    </cacheField>
    <cacheField name="Oil US PUDs MMB" numFmtId="3">
      <sharedItems containsSemiMixedTypes="0" containsString="0" containsNumber="1" minValue="0" maxValue="1643"/>
    </cacheField>
    <cacheField name="NGL US PUDs MMB" numFmtId="0">
      <sharedItems containsSemiMixedTypes="0" containsString="0" containsNumber="1" minValue="0" maxValue="266.214"/>
    </cacheField>
    <cacheField name="Gas US PUDs BCF" numFmtId="0">
      <sharedItems containsSemiMixedTypes="0" containsString="0" containsNumber="1" minValue="48.868000000000002" maxValue="7209"/>
    </cacheField>
    <cacheField name="US PUDs (BCFE)" numFmtId="165">
      <sharedItems containsSemiMixedTypes="0" containsString="0" containsNumber="1" minValue="77" maxValue="10374.578"/>
    </cacheField>
    <cacheField name="Change in PUDs yoy (BCFE)" numFmtId="165">
      <sharedItems containsString="0" containsBlank="1" containsNumber="1" minValue="-8605.42" maxValue="3968.4219999999996"/>
    </cacheField>
    <cacheField name="US PUDs (MMBOE)" numFmtId="165">
      <sharedItems containsSemiMixedTypes="0" containsString="0" containsNumber="1" minValue="12.833333333333334" maxValue="1729.0963333333334"/>
    </cacheField>
    <cacheField name="Change in PUDs yoy (MMBOE)" numFmtId="165">
      <sharedItems containsString="0" containsBlank="1" containsNumber="1" minValue="-1434.2366666666667" maxValue="661.4036666666666"/>
    </cacheField>
    <cacheField name="%Change in PUDs" numFmtId="0">
      <sharedItems containsString="0" containsBlank="1" containsNumber="1" minValue="-0.90762022612399906" maxValue="4.7985755743651746"/>
    </cacheField>
    <cacheField name="Comments" numFmtId="0">
      <sharedItems containsBlank="1"/>
    </cacheField>
    <cacheField name="Revisions (BCF)" numFmtId="1">
      <sharedItems containsSemiMixedTypes="0" containsString="0" containsNumber="1" minValue="-6080" maxValue="1299"/>
    </cacheField>
    <cacheField name="Extensions, Discoveries, &amp; Other Additions (BCF)" numFmtId="1">
      <sharedItems containsSemiMixedTypes="0" containsString="0" containsNumber="1" minValue="0" maxValue="4678"/>
    </cacheField>
    <cacheField name="Purchases (BCF)" numFmtId="1">
      <sharedItems containsSemiMixedTypes="0" containsString="0" containsNumber="1" minValue="0" maxValue="1367"/>
    </cacheField>
    <cacheField name="Improved Recovery (BCF)" numFmtId="1">
      <sharedItems containsSemiMixedTypes="0" containsString="0" containsNumber="1" containsInteger="1" minValue="0" maxValue="406"/>
    </cacheField>
    <cacheField name="US Natural Gas Addition (BCF)" numFmtId="1">
      <sharedItems containsSemiMixedTypes="0" containsString="0" containsNumber="1" minValue="-3386" maxValue="4296"/>
    </cacheField>
    <cacheField name="Revisions (MMB)" numFmtId="1">
      <sharedItems containsSemiMixedTypes="0" containsString="0" containsNumber="1" minValue="-246.84" maxValue="515"/>
    </cacheField>
    <cacheField name="Extensions, Discoveries, &amp; Other Additions (MMB)" numFmtId="1">
      <sharedItems containsSemiMixedTypes="0" containsString="0" containsNumber="1" minValue="-0.125" maxValue="374"/>
    </cacheField>
    <cacheField name="Purchases (MMB)" numFmtId="1">
      <sharedItems containsSemiMixedTypes="0" containsString="0" containsNumber="1" minValue="0" maxValue="148.19999999999999"/>
    </cacheField>
    <cacheField name="Improved Recovery (MMB)" numFmtId="1">
      <sharedItems containsSemiMixedTypes="0" containsString="0" containsNumber="1" minValue="0" maxValue="224"/>
    </cacheField>
    <cacheField name="US Oil, Condensate Addition (MMB)" numFmtId="1">
      <sharedItems containsSemiMixedTypes="0" containsString="0" containsNumber="1" minValue="-160.00400000000002" maxValue="527.93600000000004"/>
    </cacheField>
    <cacheField name="Revisions (MMB)2" numFmtId="1">
      <sharedItems containsSemiMixedTypes="0" containsString="0" containsNumber="1" minValue="-125" maxValue="129"/>
    </cacheField>
    <cacheField name="Extensions, Discoveries, &amp; Other Additions (MMB)2" numFmtId="1">
      <sharedItems containsSemiMixedTypes="0" containsString="0" containsNumber="1" minValue="0" maxValue="524"/>
    </cacheField>
    <cacheField name="Purchases (MMB)2" numFmtId="1">
      <sharedItems containsSemiMixedTypes="0" containsString="0" containsNumber="1" minValue="0" maxValue="118.816"/>
    </cacheField>
    <cacheField name="Improved Recovery (MMB)2" numFmtId="1">
      <sharedItems containsSemiMixedTypes="0" containsString="0" containsNumber="1" containsInteger="1" minValue="0" maxValue="28"/>
    </cacheField>
    <cacheField name="US NGL Additions (MMB)" numFmtId="1">
      <sharedItems containsSemiMixedTypes="0" containsString="0" containsNumber="1" minValue="-100" maxValue="493.1"/>
    </cacheField>
    <cacheField name="US All Source Additions (BCFE)" numFmtId="1">
      <sharedItems containsSemiMixedTypes="0" containsString="0" containsNumber="1" minValue="-3922.4" maxValue="5839.2509999999993"/>
    </cacheField>
    <cacheField name="US All Source Additions (MMBOE)" numFmtId="1">
      <sharedItems containsSemiMixedTypes="0" containsString="0" containsNumber="1" minValue="-653.73333333333335" maxValue="973.20850000000007"/>
    </cacheField>
    <cacheField name="US Unproved Property Acquisitions ($MM)" numFmtId="2">
      <sharedItems containsSemiMixedTypes="0" containsString="0" containsNumber="1" minValue="0" maxValue="8263"/>
    </cacheField>
    <cacheField name="US Proved Property Acquisitions ($MM)" numFmtId="2">
      <sharedItems containsSemiMixedTypes="0" containsString="0" containsNumber="1" minValue="0" maxValue="5604"/>
    </cacheField>
    <cacheField name="US Exploration ($MM)" numFmtId="2">
      <sharedItems containsSemiMixedTypes="0" containsString="0" containsNumber="1" minValue="0" maxValue="2353"/>
    </cacheField>
    <cacheField name="US Development ($MM)" numFmtId="2">
      <sharedItems containsSemiMixedTypes="0" containsString="0" containsNumber="1" minValue="64.209000000000003" maxValue="6489.192"/>
    </cacheField>
    <cacheField name="US Total Capital ($MM)" numFmtId="44">
      <sharedItems containsSemiMixedTypes="0" containsString="0" containsNumber="1" minValue="187.52100000000002" maxValue="14729"/>
    </cacheField>
    <cacheField name="3-Year Moving Sum FD Costs ($MM)" numFmtId="165">
      <sharedItems containsString="0" containsBlank="1" containsNumber="1" minValue="1933.42" maxValue="36012"/>
    </cacheField>
    <cacheField name="3-Year Moving Sum Total Additions (MMBOE)" numFmtId="165">
      <sharedItems containsString="0" containsBlank="1" containsNumber="1" minValue="-155.32516666666663" maxValue="2393.7666666666669"/>
    </cacheField>
    <cacheField name="3-Year Moving Sum Total Additions (BCFE)" numFmtId="165">
      <sharedItems containsString="0" containsBlank="1" containsNumber="1" minValue="-931.95100000000025" maxValue="14362.6"/>
    </cacheField>
    <cacheField name="3-Year Average US FD ($/BOE)" numFmtId="0">
      <sharedItems containsString="0" containsBlank="1" containsNumber="1" minValue="-158.07340349874681" maxValue="128.72017353579184"/>
    </cacheField>
    <cacheField name="3-Year Average US FD ($/MCFE)" numFmtId="44">
      <sharedItems containsString="0" containsBlank="1" containsNumber="1" minValue="-26.345567249791124" maxValue="21.453362255965299"/>
    </cacheField>
    <cacheField name="Comments2" numFmtId="0">
      <sharedItems containsBlank="1" longText="1"/>
    </cacheField>
    <cacheField name="US Production Costs ($MM)" numFmtId="165">
      <sharedItems containsString="0" containsBlank="1" containsNumber="1" minValue="56.048000000000002" maxValue="4346"/>
    </cacheField>
    <cacheField name="Unadjusted G&amp;A and Marketing ($MM)" numFmtId="0">
      <sharedItems containsString="0" containsBlank="1" containsNumber="1" minValue="0" maxValue="2901"/>
    </cacheField>
    <cacheField name="US E&amp;P G&amp;A and Marketing ($MM)" numFmtId="165">
      <sharedItems containsString="0" containsBlank="1" containsNumber="1" minValue="0" maxValue="711"/>
    </cacheField>
    <cacheField name="Adjusted US Upstream G&amp;A and Marketing ($MM)" numFmtId="165">
      <sharedItems containsString="0" containsBlank="1" containsNumber="1" minValue="39.978945777729635" maxValue="891.1054717386379"/>
    </cacheField>
    <cacheField name="Unadjusted Cash Income Tax Expense (Benefit) ($MM)" numFmtId="0">
      <sharedItems containsString="0" containsBlank="1" containsNumber="1" minValue="-882" maxValue="9827"/>
    </cacheField>
    <cacheField name="US E&amp;P Cash Income Tax Expense (Benefit) ($MM)" numFmtId="165">
      <sharedItems containsString="0" containsBlank="1" containsNumber="1" minValue="-1.359" maxValue="77.028999999999996"/>
    </cacheField>
    <cacheField name="Adjusted US Upstream Cash Income Taxes  ($MM)" numFmtId="165">
      <sharedItems containsString="0" containsBlank="1" containsNumber="1" minValue="-662.47030884280582" maxValue="4625.5293040293036"/>
    </cacheField>
    <cacheField name="Unadjusted Non-Income Taxes ($MM)" numFmtId="0">
      <sharedItems containsString="0" containsBlank="1" containsNumber="1" containsInteger="1" minValue="0" maxValue="0"/>
    </cacheField>
    <cacheField name="US E&amp;P Non-Income Taxes ($MM)" numFmtId="0">
      <sharedItems containsString="0" containsBlank="1" containsNumber="1" minValue="0" maxValue="3241"/>
    </cacheField>
    <cacheField name="Adjusted US Upstream Non-Income Taxes ($MM)" numFmtId="165">
      <sharedItems containsString="0" containsBlank="1" containsNumber="1" minValue="0" maxValue="3241"/>
    </cacheField>
    <cacheField name="Unadjusted Interest Expense MM$" numFmtId="0">
      <sharedItems containsString="0" containsBlank="1" containsNumber="1" minValue="0" maxValue="1776"/>
    </cacheField>
    <cacheField name="Total US E&amp;P Interest Expense MM$" numFmtId="165">
      <sharedItems containsString="0" containsBlank="1" containsNumber="1" minValue="0" maxValue="232.173"/>
    </cacheField>
    <cacheField name="Adjusted US Upstream Total Interest Expense (MM$)" numFmtId="165">
      <sharedItems containsString="0" containsBlank="1" containsNumber="1" minValue="14.862" maxValue="800.39718744399659"/>
    </cacheField>
    <cacheField name="E&amp;P Revenue ($MM)" numFmtId="0">
      <sharedItems containsSemiMixedTypes="0" containsString="0" containsNumber="1" minValue="0" maxValue="64196"/>
    </cacheField>
    <cacheField name="Total Revenue ($MM)" numFmtId="0">
      <sharedItems containsSemiMixedTypes="0" containsString="0" containsNumber="1" minValue="0" maxValue="64196"/>
    </cacheField>
    <cacheField name="US E&amp;P Factor" numFmtId="0">
      <sharedItems containsString="0" containsBlank="1" containsNumber="1" minValue="0.12040625878133787" maxValue="1"/>
    </cacheField>
    <cacheField name="US Cash Costs ($MM)" numFmtId="3">
      <sharedItems containsString="0" containsBlank="1" containsNumber="1" minValue="172.99099999999999" maxValue="12266.424908424908"/>
    </cacheField>
    <cacheField name="US Cash Cost ($/BOE)" numFmtId="44">
      <sharedItems containsString="0" containsBlank="1" containsNumber="1" minValue="6.7564745396408483" maxValue="73.740320082601968"/>
    </cacheField>
    <cacheField name="US Cash Cost ($/MCFE)" numFmtId="44">
      <sharedItems containsString="0" containsBlank="1" containsNumber="1" minValue="1.1260790899401414" maxValue="12.290053347100327"/>
    </cacheField>
    <cacheField name="Comments3" numFmtId="0">
      <sharedItems containsBlank="1"/>
    </cacheField>
    <cacheField name="Total Capital + Cash Costs $MM" numFmtId="0">
      <sharedItems containsString="0" containsBlank="1" containsNumber="1" minValue="631.10513191921382" maxValue="18323.956969130028"/>
    </cacheField>
    <cacheField name="10% Return $MM" numFmtId="0">
      <sharedItems containsString="0" containsBlank="1" containsNumber="1" minValue="63.110513191921385" maxValue="1832.3956969130029"/>
    </cacheField>
    <cacheField name="10% Return as a % of Capex" numFmtId="0">
      <sharedItems containsString="0" containsBlank="1" containsNumber="1" minValue="0" maxValue="0.3537006185816941"/>
    </cacheField>
    <cacheField name="10% Return/BOE" numFmtId="0">
      <sharedItems containsString="0" containsBlank="1" containsNumber="1" minValue="1.0466412587432552" maxValue="19.067767571831407"/>
    </cacheField>
    <cacheField name="10% Return $/MCFE" numFmtId="0">
      <sharedItems containsString="0" containsBlank="1" containsNumber="1" minValue="0.17444020979054253" maxValue="3.1779612619719018"/>
    </cacheField>
    <cacheField name="FD Return ($/BOE)" numFmtId="0">
      <sharedItems containsString="0" containsBlank="1" containsNumber="1" minValue="3.7099380477917037" maxValue="152.3242490764041"/>
    </cacheField>
    <cacheField name="FD Return ($/MCFE)" numFmtId="0">
      <sharedItems containsString="0" containsBlank="1" containsNumber="1" minValue="0.61832300796528394" maxValue="25.387374846067353"/>
    </cacheField>
    <cacheField name="3 yr avg FD Cost + Cash Costs Before Return $/BOE" numFmtId="0">
      <sharedItems containsString="0" containsBlank="1" containsNumber="1" minValue="-139.86842556833577" maxValue="146.3431105379704"/>
    </cacheField>
    <cacheField name="3 yr avg US Breakeven Cost  After 10% Return $/BOE" numFmtId="0">
      <sharedItems containsString="0" containsBlank="1" containsNumber="1" minValue="-135.35805469976066" maxValue="150.76381321364767"/>
    </cacheField>
    <cacheField name="3 yr avg US Breakeven Cost After FD Return ($/BOE)" numFmtId="0">
      <sharedItems containsString="0" containsBlank="1" containsNumber="1" minValue="-121.69855517535055" maxValue="275.1290778019806"/>
    </cacheField>
    <cacheField name="3 yr avg US Breakeven Cost  Before Return $/MCFE" numFmtId="0">
      <sharedItems containsString="0" containsBlank="1" containsNumber="1" minValue="-23.311404261389281" maxValue="24.390518422995058"/>
    </cacheField>
    <cacheField name="3 yr avg US Breakeven Cost  After 10% Return $/MCFE" numFmtId="0">
      <sharedItems containsString="0" containsBlank="1" containsNumber="1" minValue="-22.559675783293429" maxValue="25.127302202274624"/>
    </cacheField>
    <cacheField name="3 yr avg US Breakeven Cost After FD Return ($/MCFE)" numFmtId="0">
      <sharedItems containsString="0" containsBlank="1" containsNumber="1" minValue="-20.283092529225108" maxValue="45.854846300330095"/>
    </cacheField>
    <cacheField name="Henry Hub Spot Price $4/MCF" numFmtId="0">
      <sharedItems containsString="0" containsBlank="1" containsNumber="1" containsInteger="1" minValue="4" maxValue="5"/>
    </cacheField>
    <cacheField name="10% Return per BOE (Weighted w/ adds &amp; prod)" numFmtId="0">
      <sharedItems containsString="0" containsBlank="1" containsNumber="1" minValue="-13.986842556833576" maxValue="14.63431105379704"/>
    </cacheField>
    <cacheField name="10% Return per BOE (weighted w/ adds &amp; prod) net" numFmtId="0">
      <sharedItems containsString="0" containsBlank="1" containsNumber="1" minValue="-3422.417217835417" maxValue="1973.3740874481575"/>
    </cacheField>
    <cacheField name="10% Return per BOE (weighted w/ adds &amp; prod) /F&amp;D" numFmtId="0">
      <sharedItems containsString="0" containsBlank="1" containsNumber="1" minValue="-1.4260071740980904" maxValue="1.0291567887982886"/>
    </cacheField>
    <cacheField name="Suspended Exploration Costs ($ MM)" numFmtId="165">
      <sharedItems containsString="0" containsBlank="1" containsNumber="1" minValue="0" maxValue="2259"/>
    </cacheField>
    <cacheField name="Costs Excluded From FC Amort. Pool ($ MM)" numFmtId="165">
      <sharedItems containsString="0" containsBlank="1" containsNumber="1" minValue="458" maxValue="16685"/>
    </cacheField>
    <cacheField name="Total Debt (World-Wide)" numFmtId="0">
      <sharedItems containsString="0" containsBlank="1" containsNumber="1" containsInteger="1" minValue="1528" maxValue="15751"/>
    </cacheField>
    <cacheField name="Gas Revenue Q1" numFmtId="0">
      <sharedItems containsString="0" containsBlank="1" containsNumber="1" minValue="0" maxValue="1217"/>
    </cacheField>
    <cacheField name="Gas Sales Q1" numFmtId="0">
      <sharedItems containsString="0" containsBlank="1" containsNumber="1" minValue="9.125" maxValue="276.2"/>
    </cacheField>
    <cacheField name="Realized Gas Price Q1 ($/MCFE) " numFmtId="2">
      <sharedItems containsString="0" containsBlank="1" containsNumber="1" minValue="1.27" maxValue="7.06"/>
    </cacheField>
    <cacheField name="Gas Revenue Q2" numFmtId="0">
      <sharedItems containsString="0" containsBlank="1" containsNumber="1" minValue="0" maxValue="1073"/>
    </cacheField>
    <cacheField name="Gas Sales Q2" numFmtId="0">
      <sharedItems containsString="0" containsBlank="1" containsNumber="1" minValue="11.04125" maxValue="409.5419847328244"/>
    </cacheField>
    <cacheField name="Realized Gas Price Q2 ($/MCFE) " numFmtId="2">
      <sharedItems containsString="0" containsBlank="1" containsNumber="1" minValue="1.01" maxValue="5.7"/>
    </cacheField>
    <cacheField name="Gas Revenue Q3" numFmtId="0">
      <sharedItems containsString="0" containsBlank="1" containsNumber="1" minValue="23.075300000000002" maxValue="830"/>
    </cacheField>
    <cacheField name="Gas Sales Q3" numFmtId="0">
      <sharedItems containsString="0" containsBlank="1" containsNumber="1" minValue="10.0375" maxValue="282"/>
    </cacheField>
    <cacheField name="Realized Gas Price Q3 ($/MCFE) " numFmtId="2">
      <sharedItems containsString="0" containsBlank="1" containsNumber="1" minValue="1.1399999999999999" maxValue="5.56"/>
    </cacheField>
    <cacheField name="Gas Revenue Q4" numFmtId="0">
      <sharedItems containsString="0" containsBlank="1" containsNumber="1" minValue="-190.29731249999992" maxValue="1364.28"/>
    </cacheField>
    <cacheField name="Gas Sales Q4" numFmtId="0">
      <sharedItems containsString="0" containsBlank="1" containsNumber="1" minValue="-47.723749999999981" maxValue="788"/>
    </cacheField>
    <cacheField name="Estimated Gas Price Q4 ($/MCFE) " numFmtId="2">
      <sharedItems containsString="0" containsBlank="1" containsNumber="1" minValue="1.2041567963902986" maxValue="6.7428184548722196"/>
    </cacheField>
    <cacheField name="Gas Revenue Annual" numFmtId="0">
      <sharedItems containsString="0" containsBlank="1" containsNumber="1" minValue="90.779149999999987" maxValue="3846.15"/>
    </cacheField>
    <cacheField name="Gas Sales Annual" numFmtId="0">
      <sharedItems containsString="0" containsBlank="1" containsNumber="1" minValue="43.434999999999995" maxValue="1095"/>
    </cacheField>
    <cacheField name="Realized Gas Annual" numFmtId="2">
      <sharedItems containsString="0" containsBlank="1" containsNumber="1" minValue="1.6" maxValue="5.4"/>
    </cacheField>
    <cacheField name="Oil and Condensate Revenue Q1" numFmtId="0">
      <sharedItems containsString="0" containsBlank="1" containsNumber="1" minValue="0" maxValue="2935.96875"/>
    </cacheField>
    <cacheField name="Oil and Condensate Sales Q1" numFmtId="0">
      <sharedItems containsString="0" containsBlank="1" containsNumber="1" minValue="1.6E-2" maxValue="33.945"/>
    </cacheField>
    <cacheField name="Realized Oil and Condensate Price Q1 ($/Bbl)" numFmtId="0">
      <sharedItems containsString="0" containsBlank="1" containsNumber="1" minValue="25.72" maxValue="106.93"/>
    </cacheField>
    <cacheField name="Oil and Condensate Revenue Q2" numFmtId="0">
      <sharedItems containsString="0" containsBlank="1" containsNumber="1" minValue="0" maxValue="3087.5833625"/>
    </cacheField>
    <cacheField name="Oil and Condensate Sales Q2" numFmtId="0">
      <sharedItems containsString="0" containsBlank="1" containsNumber="1" minValue="1.6E-2" maxValue="33.671250000000001"/>
    </cacheField>
    <cacheField name="Realized Oil and Condensate Price Q2 ($/Bbl)" numFmtId="0">
      <sharedItems containsString="0" containsBlank="1" containsNumber="1" minValue="35.47" maxValue="104.44"/>
    </cacheField>
    <cacheField name="Oil and Condensate Revenue Q3" numFmtId="0">
      <sharedItems containsString="0" containsBlank="1" containsNumber="1" minValue="1.8937299999999999" maxValue="2872.413125"/>
    </cacheField>
    <cacheField name="Oil and Condensate Sales Q3" numFmtId="0">
      <sharedItems containsString="0" containsBlank="1" containsNumber="1" minValue="1.9E-2" maxValue="32.576250000000002"/>
    </cacheField>
    <cacheField name="Realized Oil and Condensate  Price Q3 ($/Bbl)" numFmtId="0">
      <sharedItems containsString="0" containsBlank="1" containsNumber="1" minValue="33.5" maxValue="108.56"/>
    </cacheField>
    <cacheField name="Oil and Condensate Revenue Q4" numFmtId="0">
      <sharedItems containsString="0" containsBlank="1" containsNumber="1" minValue="2.3576900000000012" maxValue="3358.5292499999996"/>
    </cacheField>
    <cacheField name="Oil and Condensate Sales Q4" numFmtId="0">
      <sharedItems containsString="0" containsBlank="1" containsNumber="1" minValue="2.4E-2" maxValue="36.676600000000001"/>
    </cacheField>
    <cacheField name="Estimated Oil and Condensate  Price Q4 ($/Bbl)" numFmtId="0">
      <sharedItems containsString="0" containsBlank="1" containsNumber="1" minValue="27.355764499121261" maxValue="108.25235294117644"/>
    </cacheField>
    <cacheField name="Oil and Condensate Revenue Annual" numFmtId="0">
      <sharedItems containsString="0" containsBlank="1" containsNumber="1" minValue="8.4278200000000005" maxValue="11525.860499999999"/>
    </cacheField>
    <cacheField name="Oil and Condensate Sales Annual" numFmtId="0">
      <sharedItems containsString="0" containsBlank="1" containsNumber="1" minValue="8.3000000000000004E-2" maxValue="132.85999999999999"/>
    </cacheField>
    <cacheField name="Realized Oil and Condensate  Price Annual ($/Bbl)" numFmtId="0">
      <sharedItems containsString="0" containsBlank="1" containsNumber="1" minValue="31.2" maxValue="103.81"/>
    </cacheField>
    <cacheField name="NGL Revenue Q1" numFmtId="0">
      <sharedItems containsString="0" containsBlank="1" containsNumber="1" minValue="0.45143999999999995" maxValue="417.90674999999993"/>
    </cacheField>
    <cacheField name="NGL Sales Q1" numFmtId="0">
      <sharedItems containsString="0" containsBlank="1" containsNumber="1" minValue="8.9999999999999993E-3" maxValue="12.683750000000002"/>
    </cacheField>
    <cacheField name="Realized NGLs Q1 ($/Bbl)" numFmtId="0">
      <sharedItems containsString="0" containsBlank="1" containsNumber="1" minValue="4.9800000000000004" maxValue="72.3"/>
    </cacheField>
    <cacheField name="NGL Revenue Q2" numFmtId="0">
      <sharedItems containsString="0" containsBlank="1" containsNumber="1" minValue="0.26446000000000003" maxValue="411.29"/>
    </cacheField>
    <cacheField name="NGL Sales Q2" numFmtId="0">
      <sharedItems containsString="0" containsBlank="1" containsNumber="1" minValue="7.0000000000000001E-3" maxValue="13"/>
    </cacheField>
    <cacheField name="Realized NGLs Q2 ($/Bbl)" numFmtId="0">
      <sharedItems containsString="0" containsBlank="1" containsNumber="1" minValue="1.9" maxValue="72.88"/>
    </cacheField>
    <cacheField name="NGL Revenue Q3" numFmtId="0">
      <sharedItems containsString="0" containsBlank="1" containsNumber="1" minValue="-9.66" maxValue="386.21"/>
    </cacheField>
    <cacheField name="NGL Sales Q3" numFmtId="0">
      <sharedItems containsString="0" containsBlank="1" containsNumber="1" minValue="1.0999999999999999E-2" maxValue="12.592500000000001"/>
    </cacheField>
    <cacheField name="Realized NGLs  Price Q3 ($/Bbl)" numFmtId="0">
      <sharedItems containsString="0" containsBlank="1" containsNumber="1" minValue="-1.38" maxValue="61.34"/>
    </cacheField>
    <cacheField name="NGL Revenue Q4" numFmtId="0">
      <sharedItems containsString="0" containsBlank="1" containsNumber="1" minValue="-104.20385000000005" maxValue="435.31099999999992"/>
    </cacheField>
    <cacheField name="NGL Sales Q4" numFmtId="0">
      <sharedItems containsString="0" containsBlank="1" containsNumber="1" minValue="-1.6424999999999992" maxValue="14.691250000000002"/>
    </cacheField>
    <cacheField name="Estimated NGLs Price Q4 ($/Bbl)" numFmtId="0">
      <sharedItems containsString="0" containsBlank="1" containsNumber="1" minValue="-58.309999999999249" maxValue="63.442222222222284"/>
    </cacheField>
    <cacheField name="NGL Revenue Annual" numFmtId="0">
      <sharedItems containsString="0" containsBlank="1" containsNumber="1" minValue="0" maxValue="1561.12"/>
    </cacheField>
    <cacheField name="NGL Sales Annual" numFmtId="0">
      <sharedItems containsString="0" containsBlank="1" containsNumber="1" minValue="0.05" maxValue="50.005000000000003"/>
    </cacheField>
    <cacheField name="Realized NGLs Price Annual  ($/Bbl)" numFmtId="0">
      <sharedItems containsString="0" containsBlank="1" containsNumber="1" minValue="6.8" maxValue="63.37"/>
    </cacheField>
    <cacheField name="WTI Annual" numFmtId="0">
      <sharedItems containsSemiMixedTypes="0" containsString="0" containsNumber="1" minValue="43.2" maxValue="99.67"/>
    </cacheField>
    <cacheField name="HH Annual" numFmtId="0">
      <sharedItems containsSemiMixedTypes="0" containsString="0" containsNumber="1" minValue="2.52" maxValue="8.86"/>
    </cacheField>
    <cacheField name="NGL Annual" numFmtId="0">
      <sharedItems containsSemiMixedTypes="0" containsString="0" containsNumber="1" minValue="4.97" maxValue="15.2"/>
    </cacheField>
    <cacheField name="1Q HH Average" numFmtId="43">
      <sharedItems containsString="0" containsBlank="1" containsNumber="1" minValue="1.99" maxValue="5.21"/>
    </cacheField>
    <cacheField name="2Q HH Average" numFmtId="43">
      <sharedItems containsString="0" containsBlank="1" containsNumber="1" minValue="2.15" maxValue="4.6100000000000003"/>
    </cacheField>
    <cacheField name="3Q HH Average" numFmtId="43">
      <sharedItems containsString="0" containsBlank="1" containsNumber="1" minValue="2.76" maxValue="3.96"/>
    </cacheField>
    <cacheField name="4Q HH Average" numFmtId="43">
      <sharedItems containsString="0" containsBlank="1" containsNumber="1" minValue="2.12" maxValue="3.85"/>
    </cacheField>
    <cacheField name="1Q NGL Average" numFmtId="43">
      <sharedItems containsString="0" containsBlank="1" containsNumber="1" minValue="4.0199999999999996" maxValue="13.14"/>
    </cacheField>
    <cacheField name="2Q NGL Average" numFmtId="43">
      <sharedItems containsString="0" containsBlank="1" containsNumber="1" minValue="5" maxValue="10.75"/>
    </cacheField>
    <cacheField name="3Q NGL Average" numFmtId="43">
      <sharedItems containsString="0" containsBlank="1" containsNumber="1" minValue="4.68" maxValue="10.01"/>
    </cacheField>
    <cacheField name="4Q NGL Average" numFmtId="43">
      <sharedItems containsString="0" containsBlank="1" containsNumber="1" minValue="4.5999999999999996" maxValue="10.53"/>
    </cacheField>
    <cacheField name="1Q WTI Average" numFmtId="43">
      <sharedItems containsString="0" containsBlank="1" containsNumber="1" minValue="33.35" maxValue="102.98"/>
    </cacheField>
    <cacheField name="2Q WTI Average" numFmtId="43">
      <sharedItems containsString="0" containsBlank="1" containsNumber="1" minValue="45.46" maxValue="103.35"/>
    </cacheField>
    <cacheField name="3Q WTI Average" numFmtId="43">
      <sharedItems containsString="0" containsBlank="1" containsNumber="1" minValue="44.85" maxValue="105.83"/>
    </cacheField>
    <cacheField name="4Q WTI Average" numFmtId="43">
      <sharedItems containsString="0" containsBlank="1" containsNumber="1" minValue="41.94" maxValue="97.44"/>
    </cacheField>
    <cacheField name="3-Year MA Capex" numFmtId="0" formula="'3-Year Moving Sum FD Costs ($MM)'/'3-Year Moving Sum Total Additions (MMBOE)'" databaseField="0"/>
    <cacheField name="U.S. Cash Costs" numFmtId="0" formula="'US Cash Costs ($MM)'/'US Total Production (MMBOE)'" databaseField="0"/>
    <cacheField name="10% Return" numFmtId="0" formula="'10% Return $MM'/'US Total Production (MMBOE)'"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anny Quijano" refreshedDate="42872.469138310182" createdVersion="4" refreshedVersion="5" minRefreshableVersion="3" recordCount="160">
  <cacheSource type="worksheet">
    <worksheetSource ref="A2:CN162" sheet="Data"/>
  </cacheSource>
  <cacheFields count="103">
    <cacheField name="Company" numFmtId="0">
      <sharedItems/>
    </cacheField>
    <cacheField name="CUSIP" numFmtId="0">
      <sharedItems containsBlank="1" count="21">
        <s v="APC"/>
        <s v="APA"/>
        <s v="COG"/>
        <s v="CHK"/>
        <s v="CXO"/>
        <s v="COP"/>
        <s v="CLR"/>
        <s v="DVN"/>
        <s v="ECA"/>
        <s v="EOG"/>
        <s v="HES"/>
        <s v="MRO"/>
        <s v="OXY"/>
        <s v="PXD"/>
        <s v="RRC"/>
        <s v="SWN"/>
        <m u="1"/>
        <s v="XTO" u="1"/>
        <s v="XOM" u="1"/>
        <s v="CVX" u="1"/>
        <s v="UPL" u="1"/>
      </sharedItems>
    </cacheField>
    <cacheField name="Year" numFmtId="0">
      <sharedItems containsSemiMixedTypes="0" containsString="0" containsNumber="1" containsInteger="1" minValue="2007" maxValue="2016" count="10">
        <n v="2007"/>
        <n v="2008"/>
        <n v="2009"/>
        <n v="2010"/>
        <n v="2011"/>
        <n v="2012"/>
        <n v="2013"/>
        <n v="2014"/>
        <n v="2015"/>
        <n v="2016"/>
      </sharedItems>
    </cacheField>
    <cacheField name="US Natural Gas Production  (BCF)" numFmtId="165">
      <sharedItems containsSemiMixedTypes="0" containsString="0" containsNumber="1" minValue="12.064" maxValue="1129"/>
    </cacheField>
    <cacheField name="US Oil and Liquids Production (MMB)" numFmtId="0">
      <sharedItems containsSemiMixedTypes="0" containsString="0" containsNumber="1" minValue="8.3000000000000004E-2" maxValue="166"/>
    </cacheField>
    <cacheField name="US NGL Production (MMB)" numFmtId="165">
      <sharedItems containsString="0" containsBlank="1" containsNumber="1" minValue="0" maxValue="50"/>
    </cacheField>
    <cacheField name="US Total Production (MMBOE)" numFmtId="165">
      <sharedItems containsSemiMixedTypes="0" containsString="0" containsNumber="1" minValue="5.0246666666666666" maxValue="324"/>
    </cacheField>
    <cacheField name="US Total Production (BCFE)" numFmtId="165">
      <sharedItems containsSemiMixedTypes="0" containsString="0" containsNumber="1" minValue="30.148" maxValue="1944"/>
    </cacheField>
    <cacheField name="Foreign Natural Gas Production (BCF)" numFmtId="165">
      <sharedItems containsSemiMixedTypes="0" containsString="0" containsNumber="1" minValue="0" maxValue="1108"/>
    </cacheField>
    <cacheField name="Foreign Oil &amp; Liquids Production (MMBOE)" numFmtId="165">
      <sharedItems containsSemiMixedTypes="0" containsString="0" containsNumber="1" minValue="0" maxValue="188"/>
    </cacheField>
    <cacheField name="Foreign NGL Production (MMB)" numFmtId="165">
      <sharedItems containsString="0" containsBlank="1" containsNumber="1" minValue="0" maxValue="84"/>
    </cacheField>
    <cacheField name="Foreign Total Production (MMBOE)" numFmtId="165">
      <sharedItems containsSemiMixedTypes="0" containsString="0" containsNumber="1" minValue="0" maxValue="364"/>
    </cacheField>
    <cacheField name="Foreign Total Production (BCFE)" numFmtId="165">
      <sharedItems containsSemiMixedTypes="0" containsString="0" containsNumber="1" minValue="0" maxValue="2184"/>
    </cacheField>
    <cacheField name="Worldwide Production (MMBOE)" numFmtId="165">
      <sharedItems containsSemiMixedTypes="0" containsString="0" containsNumber="1" minValue="5.0246666666666666" maxValue="668.5"/>
    </cacheField>
    <cacheField name="Worldwide Production (BCFE)" numFmtId="165">
      <sharedItems containsSemiMixedTypes="0" containsString="0" containsNumber="1" minValue="30.148" maxValue="4011"/>
    </cacheField>
    <cacheField name="% US Production" numFmtId="164">
      <sharedItems containsSemiMixedTypes="0" containsString="0" containsNumber="1" minValue="0.14519906323185011" maxValue="1"/>
    </cacheField>
    <cacheField name="% US Natural Gas Production" numFmtId="164">
      <sharedItems containsSemiMixedTypes="0" containsString="0" containsNumber="1" minValue="0.15625" maxValue="0.99911855598939425"/>
    </cacheField>
    <cacheField name="% US Oil &amp; Liquids Production" numFmtId="164">
      <sharedItems containsSemiMixedTypes="0" containsString="0" containsNumber="1" minValue="8.8144401060564765E-4" maxValue="0.84375"/>
    </cacheField>
    <cacheField name="%US NGL Production" numFmtId="164">
      <sharedItems containsSemiMixedTypes="0" containsString="0" containsNumber="1" minValue="0" maxValue="0.29580047517721703"/>
    </cacheField>
    <cacheField name="Oil US PUDs MMB" numFmtId="3">
      <sharedItems containsSemiMixedTypes="0" containsString="0" containsNumber="1" minValue="0" maxValue="1643"/>
    </cacheField>
    <cacheField name="NGL US PUDs MMB" numFmtId="0">
      <sharedItems containsSemiMixedTypes="0" containsString="0" containsNumber="1" minValue="0" maxValue="266.214"/>
    </cacheField>
    <cacheField name="Gas US PUDs BCF" numFmtId="0">
      <sharedItems containsSemiMixedTypes="0" containsString="0" containsNumber="1" minValue="48.868000000000002" maxValue="7209"/>
    </cacheField>
    <cacheField name="US PUDs (BCFE)" numFmtId="165">
      <sharedItems containsSemiMixedTypes="0" containsString="0" containsNumber="1" minValue="77" maxValue="10374.578"/>
    </cacheField>
    <cacheField name="Change in PUDs yoy (BCFE)" numFmtId="165">
      <sharedItems containsString="0" containsBlank="1" containsNumber="1" minValue="-8605.42" maxValue="3968.4219999999996"/>
    </cacheField>
    <cacheField name="US PUDs (MMBOE)" numFmtId="165">
      <sharedItems containsSemiMixedTypes="0" containsString="0" containsNumber="1" minValue="12.833333333333334" maxValue="1729.0963333333334"/>
    </cacheField>
    <cacheField name="Change in PUDs yoy (MMBOE)" numFmtId="165">
      <sharedItems containsString="0" containsBlank="1" containsNumber="1" minValue="-1434.2366666666667" maxValue="661.4036666666666"/>
    </cacheField>
    <cacheField name="%Change in PUDs" numFmtId="0">
      <sharedItems containsString="0" containsBlank="1" containsNumber="1" minValue="-0.90762022612399906" maxValue="4.7985755743651746"/>
    </cacheField>
    <cacheField name="Comments" numFmtId="0">
      <sharedItems containsBlank="1"/>
    </cacheField>
    <cacheField name="Revisions (BCF)" numFmtId="1">
      <sharedItems containsSemiMixedTypes="0" containsString="0" containsNumber="1" minValue="-6080" maxValue="1299"/>
    </cacheField>
    <cacheField name="Extensions, Discoveries, &amp; Other Additions (BCF)" numFmtId="1">
      <sharedItems containsSemiMixedTypes="0" containsString="0" containsNumber="1" minValue="0" maxValue="4678"/>
    </cacheField>
    <cacheField name="Purchases (BCF)" numFmtId="1">
      <sharedItems containsSemiMixedTypes="0" containsString="0" containsNumber="1" minValue="0" maxValue="1367"/>
    </cacheField>
    <cacheField name="Improved Recovery (BCF)" numFmtId="1">
      <sharedItems containsSemiMixedTypes="0" containsString="0" containsNumber="1" containsInteger="1" minValue="0" maxValue="406"/>
    </cacheField>
    <cacheField name="US Natural Gas Addition (BCF)" numFmtId="1">
      <sharedItems containsSemiMixedTypes="0" containsString="0" containsNumber="1" minValue="-3386" maxValue="4296"/>
    </cacheField>
    <cacheField name="Revisions (MMB)" numFmtId="1">
      <sharedItems containsSemiMixedTypes="0" containsString="0" containsNumber="1" minValue="-246.84" maxValue="515"/>
    </cacheField>
    <cacheField name="Extensions, Discoveries, &amp; Other Additions (MMB)" numFmtId="1">
      <sharedItems containsSemiMixedTypes="0" containsString="0" containsNumber="1" minValue="-0.125" maxValue="374"/>
    </cacheField>
    <cacheField name="Purchases (MMB)" numFmtId="1">
      <sharedItems containsSemiMixedTypes="0" containsString="0" containsNumber="1" minValue="0" maxValue="148.19999999999999"/>
    </cacheField>
    <cacheField name="Improved Recovery (MMB)" numFmtId="1">
      <sharedItems containsSemiMixedTypes="0" containsString="0" containsNumber="1" minValue="0" maxValue="224"/>
    </cacheField>
    <cacheField name="US Oil, Condensate Addition (MMB)" numFmtId="1">
      <sharedItems containsSemiMixedTypes="0" containsString="0" containsNumber="1" minValue="-160.00400000000002" maxValue="527.93600000000004"/>
    </cacheField>
    <cacheField name="Revisions (MMB)2" numFmtId="1">
      <sharedItems containsSemiMixedTypes="0" containsString="0" containsNumber="1" minValue="-125" maxValue="129"/>
    </cacheField>
    <cacheField name="Extensions, Discoveries, &amp; Other Additions (MMB)2" numFmtId="1">
      <sharedItems containsSemiMixedTypes="0" containsString="0" containsNumber="1" minValue="0" maxValue="524"/>
    </cacheField>
    <cacheField name="Purchases (MMB)2" numFmtId="1">
      <sharedItems containsSemiMixedTypes="0" containsString="0" containsNumber="1" minValue="0" maxValue="118.816"/>
    </cacheField>
    <cacheField name="Improved Recovery (MMB)2" numFmtId="1">
      <sharedItems containsSemiMixedTypes="0" containsString="0" containsNumber="1" containsInteger="1" minValue="0" maxValue="28"/>
    </cacheField>
    <cacheField name="US NGL Additions (MMB)" numFmtId="1">
      <sharedItems containsSemiMixedTypes="0" containsString="0" containsNumber="1" minValue="-100" maxValue="493.1"/>
    </cacheField>
    <cacheField name="US All Source Additions (BCFE)" numFmtId="1">
      <sharedItems containsSemiMixedTypes="0" containsString="0" containsNumber="1" minValue="-3922.4" maxValue="5839.2509999999993"/>
    </cacheField>
    <cacheField name="US All Source Additions (MMBOE)" numFmtId="1">
      <sharedItems containsSemiMixedTypes="0" containsString="0" containsNumber="1" minValue="-653.73333333333335" maxValue="973.20850000000007"/>
    </cacheField>
    <cacheField name="US Unproved Property Acquisitions ($MM)" numFmtId="2">
      <sharedItems containsSemiMixedTypes="0" containsString="0" containsNumber="1" minValue="0" maxValue="8263"/>
    </cacheField>
    <cacheField name="US Proved Property Acquisitions ($MM)" numFmtId="2">
      <sharedItems containsSemiMixedTypes="0" containsString="0" containsNumber="1" minValue="0" maxValue="5604"/>
    </cacheField>
    <cacheField name="US Exploration ($MM)" numFmtId="2">
      <sharedItems containsSemiMixedTypes="0" containsString="0" containsNumber="1" minValue="0" maxValue="2353"/>
    </cacheField>
    <cacheField name="US Development ($MM)" numFmtId="2">
      <sharedItems containsSemiMixedTypes="0" containsString="0" containsNumber="1" minValue="64.209000000000003" maxValue="6489.192"/>
    </cacheField>
    <cacheField name="US Total Capital ($MM)" numFmtId="44">
      <sharedItems containsSemiMixedTypes="0" containsString="0" containsNumber="1" minValue="187.52100000000002" maxValue="14729"/>
    </cacheField>
    <cacheField name="3-Year Moving Sum FD Costs ($MM)" numFmtId="165">
      <sharedItems containsString="0" containsBlank="1" containsNumber="1" minValue="1933.42" maxValue="36012"/>
    </cacheField>
    <cacheField name="3-Year Moving Sum Total Additions (MMBOE)" numFmtId="165">
      <sharedItems containsString="0" containsBlank="1" containsNumber="1" minValue="-155.32516666666663" maxValue="2393.7666666666669"/>
    </cacheField>
    <cacheField name="3-Year Moving Sum Total Additions (BCFE)" numFmtId="165">
      <sharedItems containsString="0" containsBlank="1" containsNumber="1" minValue="-931.95100000000025" maxValue="14362.6"/>
    </cacheField>
    <cacheField name="3-Year Average US FD ($/BOE)" numFmtId="0">
      <sharedItems containsString="0" containsBlank="1" containsNumber="1" minValue="-158.07340349874681" maxValue="128.72017353579184"/>
    </cacheField>
    <cacheField name="3-Year Average US FD ($/MCFE)" numFmtId="44">
      <sharedItems containsString="0" containsBlank="1" containsNumber="1" minValue="-26.345567249791124" maxValue="21.453362255965299"/>
    </cacheField>
    <cacheField name="Comments2" numFmtId="0">
      <sharedItems containsBlank="1" longText="1"/>
    </cacheField>
    <cacheField name="US Production Costs ($MM)" numFmtId="165">
      <sharedItems containsString="0" containsBlank="1" containsNumber="1" minValue="56.048000000000002" maxValue="4346"/>
    </cacheField>
    <cacheField name="Unadjusted G&amp;A and Marketing ($MM)" numFmtId="0">
      <sharedItems containsString="0" containsBlank="1" containsNumber="1" minValue="0" maxValue="2901"/>
    </cacheField>
    <cacheField name="US E&amp;P G&amp;A and Marketing ($MM)" numFmtId="165">
      <sharedItems containsString="0" containsBlank="1" containsNumber="1" minValue="0" maxValue="711"/>
    </cacheField>
    <cacheField name="Adjusted US Upstream G&amp;A and Marketing ($MM)" numFmtId="165">
      <sharedItems containsString="0" containsBlank="1" containsNumber="1" minValue="39.978945777729635" maxValue="891.1054717386379"/>
    </cacheField>
    <cacheField name="Unadjusted Cash Income Tax Expense (Benefit) ($MM)" numFmtId="0">
      <sharedItems containsString="0" containsBlank="1" containsNumber="1" minValue="-882" maxValue="9827"/>
    </cacheField>
    <cacheField name="US E&amp;P Cash Income Tax Expense (Benefit) ($MM)" numFmtId="165">
      <sharedItems containsString="0" containsBlank="1" containsNumber="1" minValue="-1.359" maxValue="77.028999999999996"/>
    </cacheField>
    <cacheField name="Adjusted US Upstream Cash Income Taxes  ($MM)" numFmtId="165">
      <sharedItems containsString="0" containsBlank="1" containsNumber="1" minValue="-662.47030884280582" maxValue="4625.5293040293036"/>
    </cacheField>
    <cacheField name="Unadjusted Non-Income Taxes ($MM)" numFmtId="0">
      <sharedItems containsString="0" containsBlank="1" containsNumber="1" containsInteger="1" minValue="0" maxValue="0"/>
    </cacheField>
    <cacheField name="US E&amp;P Non-Income Taxes ($MM)" numFmtId="0">
      <sharedItems containsString="0" containsBlank="1" containsNumber="1" minValue="0" maxValue="3241"/>
    </cacheField>
    <cacheField name="Adjusted US Upstream Non-Income Taxes ($MM)" numFmtId="165">
      <sharedItems containsString="0" containsBlank="1" containsNumber="1" minValue="0" maxValue="3241"/>
    </cacheField>
    <cacheField name="Unadjusted Interest Expense MM$" numFmtId="0">
      <sharedItems containsString="0" containsBlank="1" containsNumber="1" minValue="0" maxValue="1776"/>
    </cacheField>
    <cacheField name="Total US E&amp;P Interest Expense MM$" numFmtId="165">
      <sharedItems containsString="0" containsBlank="1" containsNumber="1" minValue="0" maxValue="232.173"/>
    </cacheField>
    <cacheField name="Adjusted US Upstream Total Interest Expense (MM$)" numFmtId="165">
      <sharedItems containsString="0" containsBlank="1" containsNumber="1" minValue="14.862" maxValue="800.39718744399659"/>
    </cacheField>
    <cacheField name="E&amp;P Revenue ($MM)" numFmtId="0">
      <sharedItems containsSemiMixedTypes="0" containsString="0" containsNumber="1" minValue="0" maxValue="64196"/>
    </cacheField>
    <cacheField name="Total Revenue ($MM)" numFmtId="0">
      <sharedItems containsSemiMixedTypes="0" containsString="0" containsNumber="1" minValue="0" maxValue="64196"/>
    </cacheField>
    <cacheField name="US E&amp;P Factor" numFmtId="0">
      <sharedItems containsString="0" containsBlank="1" containsNumber="1" minValue="0.12040625878133787" maxValue="1"/>
    </cacheField>
    <cacheField name="US Cash Costs ($MM)" numFmtId="3">
      <sharedItems containsString="0" containsBlank="1" containsNumber="1" minValue="172.99099999999999" maxValue="12266.424908424908"/>
    </cacheField>
    <cacheField name="US Cash Cost ($/BOE)" numFmtId="44">
      <sharedItems containsString="0" containsBlank="1" containsNumber="1" minValue="6.7564745396408483" maxValue="73.740320082601968"/>
    </cacheField>
    <cacheField name="US Cash Cost ($/MCFE)" numFmtId="44">
      <sharedItems containsString="0" containsBlank="1" containsNumber="1" minValue="1.1260790899401414" maxValue="12.290053347100327"/>
    </cacheField>
    <cacheField name="Comments3" numFmtId="0">
      <sharedItems containsBlank="1"/>
    </cacheField>
    <cacheField name="Total Capital + Cash Costs $MM" numFmtId="0">
      <sharedItems containsString="0" containsBlank="1" containsNumber="1" minValue="631.10513191921382" maxValue="18323.956969130028"/>
    </cacheField>
    <cacheField name="10% Return $MM" numFmtId="0">
      <sharedItems containsString="0" containsBlank="1" containsNumber="1" minValue="63.110513191921385" maxValue="1832.3956969130029"/>
    </cacheField>
    <cacheField name="10% Return as a % of Capex" numFmtId="0">
      <sharedItems containsString="0" containsBlank="1" containsNumber="1" minValue="0" maxValue="0.3537006185816941"/>
    </cacheField>
    <cacheField name="10% Return/BOE" numFmtId="0">
      <sharedItems containsString="0" containsBlank="1" containsNumber="1" minValue="1.0466412587432552" maxValue="19.067767571831407"/>
    </cacheField>
    <cacheField name="10% Return $/MCFE" numFmtId="0">
      <sharedItems containsString="0" containsBlank="1" containsNumber="1" minValue="0.17444020979054253" maxValue="3.1779612619719018"/>
    </cacheField>
    <cacheField name="FD Return ($/BOE)" numFmtId="0">
      <sharedItems containsString="0" containsBlank="1" containsNumber="1" minValue="3.7099380477917037" maxValue="152.3242490764041"/>
    </cacheField>
    <cacheField name="FD Return ($/MCFE)" numFmtId="0">
      <sharedItems containsString="0" containsBlank="1" containsNumber="1" minValue="0.61832300796528394" maxValue="25.387374846067353"/>
    </cacheField>
    <cacheField name="3 yr avg FD Cost + Cash Costs Before Return $/BOE" numFmtId="0">
      <sharedItems containsString="0" containsBlank="1" containsNumber="1" minValue="-139.86842556833577" maxValue="146.3431105379704"/>
    </cacheField>
    <cacheField name="3 yr avg US Breakeven Cost  After 10% Return $/BOE" numFmtId="0">
      <sharedItems containsString="0" containsBlank="1" containsNumber="1" minValue="-135.35805469976066" maxValue="150.76381321364767"/>
    </cacheField>
    <cacheField name="3 yr avg US Breakeven Cost After FD Return ($/BOE)" numFmtId="0">
      <sharedItems containsString="0" containsBlank="1" containsNumber="1" minValue="-121.69855517535055" maxValue="275.1290778019806"/>
    </cacheField>
    <cacheField name="3 yr avg US Breakeven Cost  Before Return $/MCFE" numFmtId="0">
      <sharedItems containsString="0" containsBlank="1" containsNumber="1" minValue="-23.311404261389281" maxValue="24.390518422995058"/>
    </cacheField>
    <cacheField name="3 yr avg US Breakeven Cost  After 10% Return $/MCFE" numFmtId="0">
      <sharedItems containsString="0" containsBlank="1" containsNumber="1" minValue="-22.559675783293429" maxValue="25.127302202274624"/>
    </cacheField>
    <cacheField name="3 yr avg US Breakeven Cost After FD Return ($/MCFE)" numFmtId="0">
      <sharedItems containsString="0" containsBlank="1" containsNumber="1" minValue="-20.283092529225108" maxValue="45.854846300330095"/>
    </cacheField>
    <cacheField name="Henry Hub Spot Price $4/MCF" numFmtId="0">
      <sharedItems containsString="0" containsBlank="1" containsNumber="1" containsInteger="1" minValue="4" maxValue="5"/>
    </cacheField>
    <cacheField name="10% Return per BOE (Weighted w/ adds &amp; prod)" numFmtId="0">
      <sharedItems containsString="0" containsBlank="1" containsNumber="1" minValue="-13.986842556833576" maxValue="14.63431105379704"/>
    </cacheField>
    <cacheField name="10% Return per BOE (weighted w/ adds &amp; prod) net" numFmtId="0">
      <sharedItems containsString="0" containsBlank="1" containsNumber="1" minValue="-3422.417217835417" maxValue="1973.3740874481575"/>
    </cacheField>
    <cacheField name="FD, Cash, 10%" numFmtId="0" formula="(#NAME?/#NAME?)+(#NAME?/#NAME?)+('10% Return $MM'/#NAME?)" databaseField="0"/>
    <cacheField name="US Gas Production (MMBOE)" numFmtId="0" formula="'US Natural Gas Production  (BCF)'/6" databaseField="0"/>
    <cacheField name="3-Year Moving Average FD Costs per Additions (BOE)" numFmtId="0" formula="'3-Year Moving Sum FD Costs ($MM)'/'3-Year Moving Sum Total Additions (MMBOE)'" databaseField="0"/>
    <cacheField name="Cash Costs per Bbl of Production ($/BOE)" numFmtId="0" formula="'US Cash Costs ($MM)'/'US Total Production (MMBOE)'" databaseField="0"/>
    <cacheField name="10% Return per Bbl" numFmtId="0" formula="'10% Return $MM'/'US Total Production (MMBOE)'" databaseField="0"/>
    <cacheField name="3-Year Moving Average FD Costs per Additions ($/BCFE)" numFmtId="0" formula="'3-Year Moving Sum FD Costs ($MM)'/'3-Year Moving Sum Total Additions (BCFE)'" databaseField="0"/>
    <cacheField name="Cash Costs per Bbl of Production ($/BCFE)" numFmtId="0" formula="'US Cash Costs ($MM)'/'US Total Production (BCFE)'" databaseField="0"/>
    <cacheField name="10% Return per MCFE" numFmtId="0" formula="'10% Return $MM'/'US Total Production (BCFE)'" databaseField="0"/>
    <cacheField name="Return of FD" numFmtId="0" formula="'US Total Capital ($MM)'/'US Total Production (MMBOE)'" databaseField="0"/>
    <cacheField name="Return of FD ($/MCFE)" numFmtId="0" formula="'US Total Capital ($MM)'/'US Total Production (BCFE)'" databaseField="0"/>
    <cacheField name="10% return as a % of annual capex" numFmtId="0" formula="'10% Return $MM'/#NAME?" databaseField="0"/>
  </cacheFields>
  <extLst>
    <ext xmlns:x14="http://schemas.microsoft.com/office/spreadsheetml/2009/9/main" uri="{725AE2AE-9491-48be-B2B4-4EB974FC3084}">
      <x14:pivotCacheDefinition pivotCacheId="1"/>
    </ext>
  </extLst>
</pivotCacheDefinition>
</file>

<file path=xl/pivotCache/pivotCacheDefinition4.xml><?xml version="1.0" encoding="utf-8"?>
<pivotCacheDefinition xmlns="http://schemas.openxmlformats.org/spreadsheetml/2006/main" xmlns:r="http://schemas.openxmlformats.org/officeDocument/2006/relationships" r:id="rId1" refreshedBy="Danny Quijano" refreshedDate="42872.482343634256" createdVersion="5" refreshedVersion="5" minRefreshableVersion="3" recordCount="160">
  <cacheSource type="worksheet">
    <worksheetSource ref="A2:EZ162" sheet="Data"/>
  </cacheSource>
  <cacheFields count="207">
    <cacheField name="Company" numFmtId="0">
      <sharedItems count="19">
        <s v="Anadarko Petroleum"/>
        <s v="Apache Corp"/>
        <s v="Cabot Oil &amp; Gas"/>
        <s v="Chesapeake Energy"/>
        <s v="Concho"/>
        <s v="Conoco Phillips"/>
        <s v="Continental"/>
        <s v="Devon Energy"/>
        <s v="Encana"/>
        <s v="EOG Resources"/>
        <s v="Hess"/>
        <s v="Marathon"/>
        <s v="Occidental Petroeum"/>
        <s v="Pioneer Natural Resources"/>
        <s v="Range Resources"/>
        <s v="Southwestern Energy"/>
        <s v="Exxon Mobil" u="1"/>
        <s v="Chevron" u="1"/>
        <s v="Ultra Petroleum" u="1"/>
      </sharedItems>
    </cacheField>
    <cacheField name="CUSIP" numFmtId="0">
      <sharedItems/>
    </cacheField>
    <cacheField name="Year" numFmtId="0">
      <sharedItems containsSemiMixedTypes="0" containsString="0" containsNumber="1" containsInteger="1" minValue="2007" maxValue="2016" count="10">
        <n v="2007"/>
        <n v="2008"/>
        <n v="2009"/>
        <n v="2010"/>
        <n v="2011"/>
        <n v="2012"/>
        <n v="2013"/>
        <n v="2014"/>
        <n v="2015"/>
        <n v="2016"/>
      </sharedItems>
    </cacheField>
    <cacheField name="US Natural Gas Production  (BCF)" numFmtId="165">
      <sharedItems containsSemiMixedTypes="0" containsString="0" containsNumber="1" minValue="12.064" maxValue="1129"/>
    </cacheField>
    <cacheField name="US Oil and Liquids Production (MMB)" numFmtId="0">
      <sharedItems containsSemiMixedTypes="0" containsString="0" containsNumber="1" minValue="8.3000000000000004E-2" maxValue="166"/>
    </cacheField>
    <cacheField name="US NGL Production (MMB)" numFmtId="165">
      <sharedItems containsString="0" containsBlank="1" containsNumber="1" minValue="0" maxValue="50"/>
    </cacheField>
    <cacheField name="US Total Production (MMBOE)" numFmtId="165">
      <sharedItems containsSemiMixedTypes="0" containsString="0" containsNumber="1" minValue="5.0246666666666666" maxValue="324"/>
    </cacheField>
    <cacheField name="US Total Production (BCFE)" numFmtId="165">
      <sharedItems containsSemiMixedTypes="0" containsString="0" containsNumber="1" minValue="30.148" maxValue="1944"/>
    </cacheField>
    <cacheField name="Foreign Natural Gas Production (BCF)" numFmtId="165">
      <sharedItems containsSemiMixedTypes="0" containsString="0" containsNumber="1" minValue="0" maxValue="1108"/>
    </cacheField>
    <cacheField name="Foreign Oil &amp; Liquids Production (MMBOE)" numFmtId="165">
      <sharedItems containsSemiMixedTypes="0" containsString="0" containsNumber="1" minValue="0" maxValue="188"/>
    </cacheField>
    <cacheField name="Foreign NGL Production (MMB)" numFmtId="165">
      <sharedItems containsString="0" containsBlank="1" containsNumber="1" minValue="0" maxValue="84"/>
    </cacheField>
    <cacheField name="Foreign Total Production (MMBOE)" numFmtId="165">
      <sharedItems containsSemiMixedTypes="0" containsString="0" containsNumber="1" minValue="0" maxValue="364"/>
    </cacheField>
    <cacheField name="Foreign Total Production (BCFE)" numFmtId="165">
      <sharedItems containsSemiMixedTypes="0" containsString="0" containsNumber="1" minValue="0" maxValue="2184"/>
    </cacheField>
    <cacheField name="Worldwide Production (MMBOE)" numFmtId="165">
      <sharedItems containsSemiMixedTypes="0" containsString="0" containsNumber="1" minValue="5.0246666666666666" maxValue="668.5"/>
    </cacheField>
    <cacheField name="Worldwide Production (BCFE)" numFmtId="165">
      <sharedItems containsSemiMixedTypes="0" containsString="0" containsNumber="1" minValue="30.148" maxValue="4011"/>
    </cacheField>
    <cacheField name="% US Production" numFmtId="164">
      <sharedItems containsSemiMixedTypes="0" containsString="0" containsNumber="1" minValue="0.14519906323185011" maxValue="1"/>
    </cacheField>
    <cacheField name="% US Natural Gas Production" numFmtId="164">
      <sharedItems containsSemiMixedTypes="0" containsString="0" containsNumber="1" minValue="0.15625" maxValue="0.99911855598939425"/>
    </cacheField>
    <cacheField name="% US Oil &amp; Liquids Production" numFmtId="164">
      <sharedItems containsSemiMixedTypes="0" containsString="0" containsNumber="1" minValue="8.8144401060564765E-4" maxValue="0.84375"/>
    </cacheField>
    <cacheField name="%US NGL Production" numFmtId="164">
      <sharedItems containsSemiMixedTypes="0" containsString="0" containsNumber="1" minValue="0" maxValue="0.29580047517721703"/>
    </cacheField>
    <cacheField name="Oil US PUDs MMB" numFmtId="3">
      <sharedItems containsSemiMixedTypes="0" containsString="0" containsNumber="1" minValue="0" maxValue="1643"/>
    </cacheField>
    <cacheField name="NGL US PUDs MMB" numFmtId="0">
      <sharedItems containsSemiMixedTypes="0" containsString="0" containsNumber="1" minValue="0" maxValue="266.214"/>
    </cacheField>
    <cacheField name="Gas US PUDs BCF" numFmtId="0">
      <sharedItems containsSemiMixedTypes="0" containsString="0" containsNumber="1" minValue="48.868000000000002" maxValue="7209"/>
    </cacheField>
    <cacheField name="US PUDs (BCFE)" numFmtId="165">
      <sharedItems containsSemiMixedTypes="0" containsString="0" containsNumber="1" minValue="77" maxValue="10374.578"/>
    </cacheField>
    <cacheField name="Change in PUDs yoy (BCFE)" numFmtId="165">
      <sharedItems containsString="0" containsBlank="1" containsNumber="1" minValue="-8605.42" maxValue="3968.4219999999996"/>
    </cacheField>
    <cacheField name="US PUDs (MMBOE)" numFmtId="165">
      <sharedItems containsSemiMixedTypes="0" containsString="0" containsNumber="1" minValue="12.833333333333334" maxValue="1729.0963333333334"/>
    </cacheField>
    <cacheField name="Change in PUDs yoy (MMBOE)" numFmtId="165">
      <sharedItems containsString="0" containsBlank="1" containsNumber="1" minValue="-1434.2366666666667" maxValue="661.4036666666666"/>
    </cacheField>
    <cacheField name="%Change in PUDs" numFmtId="0">
      <sharedItems containsString="0" containsBlank="1" containsNumber="1" minValue="-0.90762022612399906" maxValue="4.7985755743651746"/>
    </cacheField>
    <cacheField name="Comments" numFmtId="0">
      <sharedItems containsBlank="1"/>
    </cacheField>
    <cacheField name="Revisions (BCF)" numFmtId="1">
      <sharedItems containsSemiMixedTypes="0" containsString="0" containsNumber="1" minValue="-6080" maxValue="1299"/>
    </cacheField>
    <cacheField name="Extensions, Discoveries, &amp; Other Additions (BCF)" numFmtId="1">
      <sharedItems containsSemiMixedTypes="0" containsString="0" containsNumber="1" minValue="0" maxValue="4678"/>
    </cacheField>
    <cacheField name="Purchases (BCF)" numFmtId="1">
      <sharedItems containsSemiMixedTypes="0" containsString="0" containsNumber="1" minValue="0" maxValue="1367"/>
    </cacheField>
    <cacheField name="Improved Recovery (BCF)" numFmtId="1">
      <sharedItems containsSemiMixedTypes="0" containsString="0" containsNumber="1" containsInteger="1" minValue="0" maxValue="406"/>
    </cacheField>
    <cacheField name="US Natural Gas Addition (BCF)" numFmtId="1">
      <sharedItems containsSemiMixedTypes="0" containsString="0" containsNumber="1" minValue="-3386" maxValue="4296"/>
    </cacheField>
    <cacheField name="Revisions (MMB)" numFmtId="1">
      <sharedItems containsSemiMixedTypes="0" containsString="0" containsNumber="1" minValue="-246.84" maxValue="515"/>
    </cacheField>
    <cacheField name="Extensions, Discoveries, &amp; Other Additions (MMB)" numFmtId="1">
      <sharedItems containsSemiMixedTypes="0" containsString="0" containsNumber="1" minValue="-0.125" maxValue="374"/>
    </cacheField>
    <cacheField name="Purchases (MMB)" numFmtId="1">
      <sharedItems containsSemiMixedTypes="0" containsString="0" containsNumber="1" minValue="0" maxValue="148.19999999999999"/>
    </cacheField>
    <cacheField name="Improved Recovery (MMB)" numFmtId="1">
      <sharedItems containsSemiMixedTypes="0" containsString="0" containsNumber="1" minValue="0" maxValue="224"/>
    </cacheField>
    <cacheField name="US Oil, Condensate Addition (MMB)" numFmtId="1">
      <sharedItems containsSemiMixedTypes="0" containsString="0" containsNumber="1" minValue="-160.00400000000002" maxValue="527.93600000000004"/>
    </cacheField>
    <cacheField name="Revisions (MMB)2" numFmtId="1">
      <sharedItems containsSemiMixedTypes="0" containsString="0" containsNumber="1" minValue="-125" maxValue="129"/>
    </cacheField>
    <cacheField name="Extensions, Discoveries, &amp; Other Additions (MMB)2" numFmtId="1">
      <sharedItems containsSemiMixedTypes="0" containsString="0" containsNumber="1" minValue="0" maxValue="524"/>
    </cacheField>
    <cacheField name="Purchases (MMB)2" numFmtId="1">
      <sharedItems containsSemiMixedTypes="0" containsString="0" containsNumber="1" minValue="0" maxValue="118.816"/>
    </cacheField>
    <cacheField name="Improved Recovery (MMB)2" numFmtId="1">
      <sharedItems containsSemiMixedTypes="0" containsString="0" containsNumber="1" containsInteger="1" minValue="0" maxValue="28"/>
    </cacheField>
    <cacheField name="US NGL Additions (MMB)" numFmtId="1">
      <sharedItems containsSemiMixedTypes="0" containsString="0" containsNumber="1" minValue="-100" maxValue="493.1"/>
    </cacheField>
    <cacheField name="US All Source Additions (BCFE)" numFmtId="1">
      <sharedItems containsSemiMixedTypes="0" containsString="0" containsNumber="1" minValue="-3922.4" maxValue="5839.2509999999993"/>
    </cacheField>
    <cacheField name="US All Source Additions (MMBOE)" numFmtId="1">
      <sharedItems containsSemiMixedTypes="0" containsString="0" containsNumber="1" minValue="-653.73333333333335" maxValue="973.20850000000007"/>
    </cacheField>
    <cacheField name="US Unproved Property Acquisitions ($MM)" numFmtId="2">
      <sharedItems containsSemiMixedTypes="0" containsString="0" containsNumber="1" minValue="0" maxValue="8263"/>
    </cacheField>
    <cacheField name="US Proved Property Acquisitions ($MM)" numFmtId="2">
      <sharedItems containsSemiMixedTypes="0" containsString="0" containsNumber="1" minValue="0" maxValue="5604"/>
    </cacheField>
    <cacheField name="US Exploration ($MM)" numFmtId="2">
      <sharedItems containsSemiMixedTypes="0" containsString="0" containsNumber="1" minValue="0" maxValue="2353"/>
    </cacheField>
    <cacheField name="US Development ($MM)" numFmtId="2">
      <sharedItems containsSemiMixedTypes="0" containsString="0" containsNumber="1" minValue="64.209000000000003" maxValue="6489.192"/>
    </cacheField>
    <cacheField name="US Total Capital ($MM)" numFmtId="44">
      <sharedItems containsSemiMixedTypes="0" containsString="0" containsNumber="1" minValue="187.52100000000002" maxValue="14729"/>
    </cacheField>
    <cacheField name="3-Year Moving Sum FD Costs ($MM)" numFmtId="165">
      <sharedItems containsString="0" containsBlank="1" containsNumber="1" minValue="1933.42" maxValue="36012"/>
    </cacheField>
    <cacheField name="3-Year Moving Sum Total Additions (MMBOE)" numFmtId="165">
      <sharedItems containsString="0" containsBlank="1" containsNumber="1" minValue="-155.32516666666663" maxValue="2393.7666666666669"/>
    </cacheField>
    <cacheField name="3-Year Moving Sum Total Additions (BCFE)" numFmtId="165">
      <sharedItems containsString="0" containsBlank="1" containsNumber="1" minValue="-931.95100000000025" maxValue="14362.6"/>
    </cacheField>
    <cacheField name="3-Year Average US FD ($/BOE)" numFmtId="0">
      <sharedItems containsString="0" containsBlank="1" containsNumber="1" minValue="-158.07340349874681" maxValue="128.72017353579184"/>
    </cacheField>
    <cacheField name="3-Year Average US FD ($/MCFE)" numFmtId="44">
      <sharedItems containsString="0" containsBlank="1" containsNumber="1" minValue="-26.345567249791124" maxValue="21.453362255965299"/>
    </cacheField>
    <cacheField name="Comments2" numFmtId="0">
      <sharedItems containsBlank="1" longText="1"/>
    </cacheField>
    <cacheField name="US Production Costs ($MM)" numFmtId="165">
      <sharedItems containsString="0" containsBlank="1" containsNumber="1" minValue="56.048000000000002" maxValue="4346"/>
    </cacheField>
    <cacheField name="Unadjusted G&amp;A and Marketing ($MM)" numFmtId="0">
      <sharedItems containsString="0" containsBlank="1" containsNumber="1" minValue="0" maxValue="2901"/>
    </cacheField>
    <cacheField name="US E&amp;P G&amp;A and Marketing ($MM)" numFmtId="165">
      <sharedItems containsString="0" containsBlank="1" containsNumber="1" minValue="0" maxValue="711"/>
    </cacheField>
    <cacheField name="Adjusted US Upstream G&amp;A and Marketing ($MM)" numFmtId="165">
      <sharedItems containsString="0" containsBlank="1" containsNumber="1" minValue="39.978945777729635" maxValue="891.1054717386379"/>
    </cacheField>
    <cacheField name="Unadjusted Cash Income Tax Expense (Benefit) ($MM)" numFmtId="0">
      <sharedItems containsString="0" containsBlank="1" containsNumber="1" minValue="-882" maxValue="9827"/>
    </cacheField>
    <cacheField name="US E&amp;P Cash Income Tax Expense (Benefit) ($MM)" numFmtId="165">
      <sharedItems containsString="0" containsBlank="1" containsNumber="1" minValue="-1.359" maxValue="77.028999999999996"/>
    </cacheField>
    <cacheField name="Adjusted US Upstream Cash Income Taxes  ($MM)" numFmtId="165">
      <sharedItems containsString="0" containsBlank="1" containsNumber="1" minValue="-662.47030884280582" maxValue="4625.5293040293036"/>
    </cacheField>
    <cacheField name="Unadjusted Non-Income Taxes ($MM)" numFmtId="0">
      <sharedItems containsString="0" containsBlank="1" containsNumber="1" containsInteger="1" minValue="0" maxValue="0"/>
    </cacheField>
    <cacheField name="US E&amp;P Non-Income Taxes ($MM)" numFmtId="0">
      <sharedItems containsString="0" containsBlank="1" containsNumber="1" minValue="0" maxValue="3241"/>
    </cacheField>
    <cacheField name="Adjusted US Upstream Non-Income Taxes ($MM)" numFmtId="165">
      <sharedItems containsString="0" containsBlank="1" containsNumber="1" minValue="0" maxValue="3241"/>
    </cacheField>
    <cacheField name="Unadjusted Interest Expense MM$" numFmtId="0">
      <sharedItems containsString="0" containsBlank="1" containsNumber="1" minValue="0" maxValue="1776"/>
    </cacheField>
    <cacheField name="Total US E&amp;P Interest Expense MM$" numFmtId="165">
      <sharedItems containsString="0" containsBlank="1" containsNumber="1" minValue="0" maxValue="232.173"/>
    </cacheField>
    <cacheField name="Adjusted US Upstream Total Interest Expense (MM$)" numFmtId="165">
      <sharedItems containsString="0" containsBlank="1" containsNumber="1" minValue="14.862" maxValue="800.39718744399659"/>
    </cacheField>
    <cacheField name="E&amp;P Revenue ($MM)" numFmtId="0">
      <sharedItems containsSemiMixedTypes="0" containsString="0" containsNumber="1" minValue="0" maxValue="64196"/>
    </cacheField>
    <cacheField name="Total Revenue ($MM)" numFmtId="0">
      <sharedItems containsSemiMixedTypes="0" containsString="0" containsNumber="1" minValue="0" maxValue="64196"/>
    </cacheField>
    <cacheField name="US E&amp;P Factor" numFmtId="0">
      <sharedItems containsString="0" containsBlank="1" containsNumber="1" minValue="0.12040625878133787" maxValue="1"/>
    </cacheField>
    <cacheField name="US Cash Costs ($MM)" numFmtId="3">
      <sharedItems containsString="0" containsBlank="1" containsNumber="1" minValue="172.99099999999999" maxValue="12266.424908424908"/>
    </cacheField>
    <cacheField name="US Cash Cost ($/BOE)" numFmtId="44">
      <sharedItems containsString="0" containsBlank="1" containsNumber="1" minValue="6.7564745396408483" maxValue="73.740320082601968"/>
    </cacheField>
    <cacheField name="US Cash Cost ($/MCFE)" numFmtId="44">
      <sharedItems containsString="0" containsBlank="1" containsNumber="1" minValue="1.1260790899401414" maxValue="12.290053347100327"/>
    </cacheField>
    <cacheField name="Comments3" numFmtId="0">
      <sharedItems containsBlank="1"/>
    </cacheField>
    <cacheField name="Total Capital + Cash Costs $MM" numFmtId="0">
      <sharedItems containsString="0" containsBlank="1" containsNumber="1" minValue="631.10513191921382" maxValue="18323.956969130028"/>
    </cacheField>
    <cacheField name="10% Return $MM" numFmtId="0">
      <sharedItems containsString="0" containsBlank="1" containsNumber="1" minValue="63.110513191921385" maxValue="1832.3956969130029"/>
    </cacheField>
    <cacheField name="10% Return as a % of Capex" numFmtId="0">
      <sharedItems containsString="0" containsBlank="1" containsNumber="1" minValue="0" maxValue="0.3537006185816941"/>
    </cacheField>
    <cacheField name="10% Return/BOE" numFmtId="0">
      <sharedItems containsString="0" containsBlank="1" containsNumber="1" minValue="1.0466412587432552" maxValue="19.067767571831407"/>
    </cacheField>
    <cacheField name="10% Return $/MCFE" numFmtId="0">
      <sharedItems containsString="0" containsBlank="1" containsNumber="1" minValue="0.17444020979054253" maxValue="3.1779612619719018"/>
    </cacheField>
    <cacheField name="FD Return ($/BOE)" numFmtId="0">
      <sharedItems containsString="0" containsBlank="1" containsNumber="1" minValue="3.7099380477917037" maxValue="152.3242490764041"/>
    </cacheField>
    <cacheField name="FD Return ($/MCFE)" numFmtId="0">
      <sharedItems containsString="0" containsBlank="1" containsNumber="1" minValue="0.61832300796528394" maxValue="25.387374846067353"/>
    </cacheField>
    <cacheField name="3 yr avg FD Cost + Cash Costs Before Return $/BOE" numFmtId="0">
      <sharedItems containsString="0" containsBlank="1" containsNumber="1" minValue="-139.86842556833577" maxValue="146.3431105379704"/>
    </cacheField>
    <cacheField name="3 yr avg US Breakeven Cost  After 10% Return $/BOE" numFmtId="0">
      <sharedItems containsString="0" containsBlank="1" containsNumber="1" minValue="-135.35805469976066" maxValue="150.76381321364767"/>
    </cacheField>
    <cacheField name="3 yr avg US Breakeven Cost After FD Return ($/BOE)" numFmtId="0">
      <sharedItems containsString="0" containsBlank="1" containsNumber="1" minValue="-121.69855517535055" maxValue="275.1290778019806"/>
    </cacheField>
    <cacheField name="3 yr avg US Breakeven Cost  Before Return $/MCFE" numFmtId="0">
      <sharedItems containsString="0" containsBlank="1" containsNumber="1" minValue="-23.311404261389281" maxValue="24.390518422995058"/>
    </cacheField>
    <cacheField name="3 yr avg US Breakeven Cost  After 10% Return $/MCFE" numFmtId="0">
      <sharedItems containsString="0" containsBlank="1" containsNumber="1" minValue="-22.559675783293429" maxValue="25.127302202274624"/>
    </cacheField>
    <cacheField name="3 yr avg US Breakeven Cost After FD Return ($/MCFE)" numFmtId="0">
      <sharedItems containsString="0" containsBlank="1" containsNumber="1" minValue="-20.283092529225108" maxValue="45.854846300330095"/>
    </cacheField>
    <cacheField name="Henry Hub Spot Price $4/MCF" numFmtId="0">
      <sharedItems containsString="0" containsBlank="1" containsNumber="1" containsInteger="1" minValue="4" maxValue="5"/>
    </cacheField>
    <cacheField name="10% Return per BOE (Weighted w/ adds &amp; prod)" numFmtId="0">
      <sharedItems containsString="0" containsBlank="1" containsNumber="1" minValue="-13.986842556833576" maxValue="14.63431105379704"/>
    </cacheField>
    <cacheField name="10% Return per BOE (weighted w/ adds &amp; prod) net" numFmtId="0">
      <sharedItems containsString="0" containsBlank="1" containsNumber="1" minValue="-3422.417217835417" maxValue="1973.3740874481575"/>
    </cacheField>
    <cacheField name="10% Return per BOE (weighted w/ adds &amp; prod) /F&amp;D" numFmtId="0">
      <sharedItems containsString="0" containsBlank="1" containsNumber="1" minValue="-1.4260071740980904" maxValue="1.0291567887982886"/>
    </cacheField>
    <cacheField name="Suspended Exploration Costs ($ MM)" numFmtId="165">
      <sharedItems containsString="0" containsBlank="1" containsNumber="1" minValue="0" maxValue="2259"/>
    </cacheField>
    <cacheField name="Costs Excluded From FC Amort. Pool ($ MM)" numFmtId="165">
      <sharedItems containsString="0" containsBlank="1" containsNumber="1" minValue="458" maxValue="16685"/>
    </cacheField>
    <cacheField name="Total Debt (World-Wide)" numFmtId="0">
      <sharedItems containsString="0" containsBlank="1" containsNumber="1" containsInteger="1" minValue="1528" maxValue="15751"/>
    </cacheField>
    <cacheField name="Gas Revenue Q1" numFmtId="0">
      <sharedItems containsString="0" containsBlank="1" containsNumber="1" minValue="15.96875" maxValue="1217"/>
    </cacheField>
    <cacheField name="Gas Sales Q1" numFmtId="0">
      <sharedItems containsString="0" containsBlank="1" containsNumber="1" minValue="9.125" maxValue="276.2"/>
    </cacheField>
    <cacheField name="Realized Gas Price Q1 ($/MCFE) " numFmtId="2">
      <sharedItems containsString="0" containsBlank="1" containsNumber="1" minValue="1.27" maxValue="7.06"/>
    </cacheField>
    <cacheField name="Gas Revenue Q2" numFmtId="0">
      <sharedItems containsString="0" containsBlank="1" containsNumber="1" minValue="17.113937499999999" maxValue="1073"/>
    </cacheField>
    <cacheField name="Gas Sales Q2" numFmtId="0">
      <sharedItems containsString="0" containsBlank="1" containsNumber="1" minValue="11.04125" maxValue="409.5419847328244"/>
    </cacheField>
    <cacheField name="Realized Gas Price Q2 ($/MCFE) " numFmtId="2">
      <sharedItems containsString="0" containsBlank="1" containsNumber="1" minValue="1.01" maxValue="5.7"/>
    </cacheField>
    <cacheField name="Gas Revenue Q3" numFmtId="0">
      <sharedItems containsString="0" containsBlank="1" containsNumber="1" minValue="23.075300000000002" maxValue="830"/>
    </cacheField>
    <cacheField name="Gas Sales Q3" numFmtId="0">
      <sharedItems containsString="0" containsBlank="1" containsNumber="1" minValue="10.0375" maxValue="282"/>
    </cacheField>
    <cacheField name="Realized Gas Price Q3 ($/MCFE) " numFmtId="2">
      <sharedItems containsString="0" containsBlank="1" containsNumber="1" minValue="1.1399999999999999" maxValue="5.56"/>
    </cacheField>
    <cacheField name="Gas Revenue Q4" numFmtId="0">
      <sharedItems containsString="0" containsBlank="1" containsNumber="1" minValue="-190.29731249999992" maxValue="1364.28"/>
    </cacheField>
    <cacheField name="Gas Sales Q4" numFmtId="0">
      <sharedItems containsString="0" containsBlank="1" containsNumber="1" minValue="-47.723749999999981" maxValue="313.93851027828788"/>
    </cacheField>
    <cacheField name="Estimated Gas Price Q4 ($/MCFE) " numFmtId="2">
      <sharedItems containsString="0" containsBlank="1" containsNumber="1" minValue="1.2041567963902986" maxValue="6.7428184548722196"/>
    </cacheField>
    <cacheField name="Gas Revenue Annual" numFmtId="0">
      <sharedItems containsString="0" containsBlank="1" containsNumber="1" minValue="90.779149999999987" maxValue="3846.15"/>
    </cacheField>
    <cacheField name="Gas Sales Annual" numFmtId="0">
      <sharedItems containsString="0" containsBlank="1" containsNumber="1" minValue="43.434999999999995" maxValue="1095"/>
    </cacheField>
    <cacheField name="Realized Gas Annual" numFmtId="2">
      <sharedItems containsString="0" containsBlank="1" containsNumber="1" minValue="1.6" maxValue="5.4"/>
    </cacheField>
    <cacheField name="Oil and Condensate Revenue Q1" numFmtId="0">
      <sharedItems containsString="0" containsBlank="1" containsNumber="1" minValue="1.6068800000000001" maxValue="2935.96875"/>
    </cacheField>
    <cacheField name="Oil and Condensate Sales Q1" numFmtId="0">
      <sharedItems containsString="0" containsBlank="1" containsNumber="1" minValue="1.6E-2" maxValue="33.945"/>
    </cacheField>
    <cacheField name="Realized Oil and Condensate Price Q1 ($/Bbl)" numFmtId="0">
      <sharedItems containsString="0" containsBlank="1" containsNumber="1" minValue="18.649999999999999" maxValue="106.93"/>
    </cacheField>
    <cacheField name="Oil and Condensate Revenue Q2" numFmtId="0">
      <sharedItems containsString="0" containsBlank="1" containsNumber="1" minValue="1.6710400000000001" maxValue="3087.5833625"/>
    </cacheField>
    <cacheField name="Oil and Condensate Sales Q2" numFmtId="0">
      <sharedItems containsString="0" containsBlank="1" containsNumber="1" minValue="1.6E-2" maxValue="33.671250000000001"/>
    </cacheField>
    <cacheField name="Realized Oil and Condensate Price Q2 ($/Bbl)" numFmtId="0">
      <sharedItems containsString="0" containsBlank="1" containsNumber="1" minValue="32.46" maxValue="104.44"/>
    </cacheField>
    <cacheField name="Oil and Condensate Revenue Q3" numFmtId="0">
      <sharedItems containsString="0" containsBlank="1" containsNumber="1" minValue="1.8937299999999999" maxValue="2872.413125"/>
    </cacheField>
    <cacheField name="Oil and Condensate Sales Q3" numFmtId="0">
      <sharedItems containsString="0" containsBlank="1" containsNumber="1" minValue="1.9E-2" maxValue="32.576250000000002"/>
    </cacheField>
    <cacheField name="Realized Oil and Condensate  Price Q3 ($/Bbl)" numFmtId="0">
      <sharedItems containsString="0" containsBlank="1" containsNumber="1" minValue="33.5" maxValue="108.56"/>
    </cacheField>
    <cacheField name="Oil and Condensate Revenue Q4" numFmtId="0">
      <sharedItems containsString="0" containsBlank="1" containsNumber="1" minValue="2.3576900000000012" maxValue="3358.5292499999996"/>
    </cacheField>
    <cacheField name="Oil and Condensate Sales Q4" numFmtId="0">
      <sharedItems containsString="0" containsBlank="1" containsNumber="1" minValue="2.4E-2" maxValue="34.766249999999992"/>
    </cacheField>
    <cacheField name="Estimated Oil and Condensate  Price Q4 ($/Bbl)" numFmtId="0">
      <sharedItems containsString="0" containsBlank="1" containsNumber="1" minValue="27.355764499121261" maxValue="108.25235294117644"/>
    </cacheField>
    <cacheField name="Oil and Condensate Revenue Annual" numFmtId="0">
      <sharedItems containsString="0" containsBlank="1" containsNumber="1" minValue="8.4278200000000005" maxValue="11525.860499999999"/>
    </cacheField>
    <cacheField name="Oil and Condensate Sales Annual" numFmtId="0">
      <sharedItems containsString="0" containsBlank="1" containsNumber="1" minValue="8.3000000000000004E-2" maxValue="132.85999999999999"/>
    </cacheField>
    <cacheField name="Realized Oil and Condensate  Price Annual ($/Bbl)" numFmtId="0">
      <sharedItems containsString="0" containsBlank="1" containsNumber="1" minValue="31.2" maxValue="103.81"/>
    </cacheField>
    <cacheField name="NGL Revenue Q1" numFmtId="0">
      <sharedItems containsString="0" containsBlank="1" containsNumber="1" minValue="0.45143999999999995" maxValue="417.90674999999993"/>
    </cacheField>
    <cacheField name="NGL Sales Q1" numFmtId="0">
      <sharedItems containsString="0" containsBlank="1" containsNumber="1" minValue="8.9999999999999993E-3" maxValue="12.683750000000002"/>
    </cacheField>
    <cacheField name="Realized NGLs Q1 ($/Bbl)" numFmtId="0">
      <sharedItems containsString="0" containsBlank="1" containsNumber="1" minValue="4.9800000000000004" maxValue="72.3"/>
    </cacheField>
    <cacheField name="NGL Revenue Q2" numFmtId="0">
      <sharedItems containsString="0" containsBlank="1" containsNumber="1" minValue="0.26446000000000003" maxValue="411.29"/>
    </cacheField>
    <cacheField name="NGL Sales Q2" numFmtId="0">
      <sharedItems containsString="0" containsBlank="1" containsNumber="1" minValue="7.0000000000000001E-3" maxValue="13"/>
    </cacheField>
    <cacheField name="Realized NGLs Q2 ($/Bbl)" numFmtId="0">
      <sharedItems containsString="0" containsBlank="1" containsNumber="1" minValue="1.9" maxValue="72.88"/>
    </cacheField>
    <cacheField name="NGL Revenue Q3" numFmtId="0">
      <sharedItems containsString="0" containsBlank="1" containsNumber="1" minValue="-9.66" maxValue="386.21"/>
    </cacheField>
    <cacheField name="NGL Sales Q3" numFmtId="0">
      <sharedItems containsString="0" containsBlank="1" containsNumber="1" minValue="1.0999999999999999E-2" maxValue="12.592500000000001"/>
    </cacheField>
    <cacheField name="Realized NGLs  Price Q3 ($/Bbl)" numFmtId="0">
      <sharedItems containsString="0" containsBlank="1" containsNumber="1" minValue="-1.38" maxValue="61.34"/>
    </cacheField>
    <cacheField name="NGL Revenue Q4" numFmtId="0">
      <sharedItems containsString="0" containsBlank="1" containsNumber="1" minValue="-104.20385000000005" maxValue="435.31099999999992"/>
    </cacheField>
    <cacheField name="NGL Sales Q4" numFmtId="0">
      <sharedItems containsString="0" containsBlank="1" containsNumber="1" minValue="-1.6424999999999992" maxValue="14.691250000000002"/>
    </cacheField>
    <cacheField name="Estimated NGLs Price Q4 ($/Bbl)" numFmtId="0">
      <sharedItems containsString="0" containsBlank="1" containsNumber="1" minValue="-58.309999999999249" maxValue="63.442222222222284"/>
    </cacheField>
    <cacheField name="NGL Revenue Annual" numFmtId="0">
      <sharedItems containsString="0" containsBlank="1" containsNumber="1" minValue="0" maxValue="1561.12"/>
    </cacheField>
    <cacheField name="NGL Sales Annual" numFmtId="0">
      <sharedItems containsString="0" containsBlank="1" containsNumber="1" minValue="0.05" maxValue="50.005000000000003"/>
    </cacheField>
    <cacheField name="Realized NGLs Price Annual  ($/Bbl)" numFmtId="0">
      <sharedItems containsString="0" containsBlank="1" containsNumber="1" minValue="6.8" maxValue="63.37"/>
    </cacheField>
    <cacheField name="WTI Annual" numFmtId="0">
      <sharedItems containsSemiMixedTypes="0" containsString="0" containsNumber="1" minValue="43.2" maxValue="99.67"/>
    </cacheField>
    <cacheField name="HH Annual" numFmtId="0">
      <sharedItems containsSemiMixedTypes="0" containsString="0" containsNumber="1" minValue="2.52" maxValue="8.86"/>
    </cacheField>
    <cacheField name="NGL Annual" numFmtId="0">
      <sharedItems containsSemiMixedTypes="0" containsString="0" containsNumber="1" minValue="4.97" maxValue="15.2"/>
    </cacheField>
    <cacheField name="1Q HH Average" numFmtId="43">
      <sharedItems containsString="0" containsBlank="1" containsNumber="1" minValue="1.99" maxValue="5.21"/>
    </cacheField>
    <cacheField name="2Q HH Average" numFmtId="43">
      <sharedItems containsString="0" containsBlank="1" containsNumber="1" minValue="2.15" maxValue="4.6100000000000003"/>
    </cacheField>
    <cacheField name="3Q HH Average" numFmtId="43">
      <sharedItems containsString="0" containsBlank="1" containsNumber="1" minValue="2.76" maxValue="3.96" count="5">
        <m/>
        <n v="2.88"/>
        <n v="3.56"/>
        <n v="3.96"/>
        <n v="2.76"/>
      </sharedItems>
    </cacheField>
    <cacheField name="4Q HH Average" numFmtId="43">
      <sharedItems containsString="0" containsBlank="1" containsNumber="1" minValue="2.12" maxValue="3.85"/>
    </cacheField>
    <cacheField name="1Q NGL Average" numFmtId="43">
      <sharedItems containsString="0" containsBlank="1" containsNumber="1" minValue="4.0199999999999996" maxValue="13.14"/>
    </cacheField>
    <cacheField name="2Q NGL Average" numFmtId="43">
      <sharedItems containsString="0" containsBlank="1" containsNumber="1" minValue="5" maxValue="10.75"/>
    </cacheField>
    <cacheField name="3Q NGL Average" numFmtId="43">
      <sharedItems containsString="0" containsBlank="1" containsNumber="1" minValue="4.68" maxValue="10.01"/>
    </cacheField>
    <cacheField name="4Q NGL Average" numFmtId="43">
      <sharedItems containsString="0" containsBlank="1" containsNumber="1" minValue="4.5999999999999996" maxValue="10.53"/>
    </cacheField>
    <cacheField name="1Q WTI Average" numFmtId="43">
      <sharedItems containsString="0" containsBlank="1" containsNumber="1" minValue="33.35" maxValue="102.98"/>
    </cacheField>
    <cacheField name="2Q WTI Average" numFmtId="43">
      <sharedItems containsString="0" containsBlank="1" containsNumber="1" minValue="45.46" maxValue="103.35"/>
    </cacheField>
    <cacheField name="3Q WTI Average" numFmtId="43">
      <sharedItems containsString="0" containsBlank="1" containsNumber="1" minValue="44.85" maxValue="105.83"/>
    </cacheField>
    <cacheField name="4Q WTI Average" numFmtId="43">
      <sharedItems containsString="0" containsBlank="1" containsNumber="1" minValue="41.94" maxValue="97.44"/>
    </cacheField>
    <cacheField name="US Gas Production (MMBOE)" numFmtId="0" formula="'US Natural Gas Production  (BCF)'/6" databaseField="0"/>
    <cacheField name="Oil Portion" numFmtId="0" formula="'Oil and Condensate Revenue Annual'/'US Total Production (MMBOE)'" databaseField="0"/>
    <cacheField name="NGL Portion" numFmtId="0" formula="'NGL Revenue Annual'/'US Total Production (MMBOE)'" databaseField="0"/>
    <cacheField name="Gas Portion" numFmtId="0" formula="'Gas Revenue Annual'/'US Total Production (MMBOE)'" databaseField="0"/>
    <cacheField name="Cash Costs ($/BOE)" numFmtId="0" formula="'US Cash Costs ($MM)'/'US Total Production (MMBOE)'" databaseField="0"/>
    <cacheField name="10% Return" numFmtId="0" formula="'10% Return $MM'/'US Total Production (MMBOE)'" databaseField="0"/>
    <cacheField name=" FD Return ($/BOE)" numFmtId="0" formula="'US Total Capital ($MM)'/'US Total Production (MMBOE)'" databaseField="0"/>
    <cacheField name=" FD Return ($/MCFE)" numFmtId="0" formula="'US Total Capital ($MM)'/'US Total Production (BCFE)'" databaseField="0"/>
    <cacheField name="Q1 Gas Price" numFmtId="0" formula="'Gas Revenue Q1'/'Gas Sales Q1'" databaseField="0"/>
    <cacheField name="Q2 Gas Price" numFmtId="0" formula="'Gas Revenue Q2'/'Gas Sales Q2'" databaseField="0"/>
    <cacheField name="Q3 Gas Price" numFmtId="0" formula="'Gas Revenue Q3'/'Gas Sales Q3'" databaseField="0"/>
    <cacheField name="Q4 Gas Price" numFmtId="0" formula="'Gas Revenue Q4'/'Gas Sales Q4'" databaseField="0"/>
    <cacheField name="Annual Gas Price" numFmtId="0" formula="'Gas Revenue Annual'/'Gas Sales Annual'" databaseField="0"/>
    <cacheField name="Q1 Oil Price" numFmtId="0" formula="'Oil and Condensate Revenue Q1'/'Oil and Condensate Sales Q1'" databaseField="0"/>
    <cacheField name="Q2 Oil Price" numFmtId="0" formula="'Oil and Condensate Revenue Q2'/'Oil and Condensate Sales Q2'" databaseField="0"/>
    <cacheField name="Q3 Oil Price" numFmtId="0" formula="'Oil and Condensate Revenue Q3'/'Oil and Condensate Sales Q3'" databaseField="0"/>
    <cacheField name="Q4 Oil Price" numFmtId="0" formula="'Oil and Condensate Revenue Q4'/'Oil and Condensate Sales Q4'" databaseField="0"/>
    <cacheField name="Annual Oil Price" numFmtId="0" formula="'Oil and Condensate Revenue Annual'/'Oil and Condensate Sales Annual'" databaseField="0"/>
    <cacheField name="Q1 NGL Price" numFmtId="0" formula="'NGL Revenue Q1'/'NGL Sales Q1'" databaseField="0"/>
    <cacheField name="Q2 NGL Price" numFmtId="0" formula="'NGL Revenue Q2'/'NGL Sales Q2'" databaseField="0"/>
    <cacheField name="Q3 NGL Price" numFmtId="0" formula="'NGL Revenue Q3'/'NGL Sales Q3'" databaseField="0"/>
    <cacheField name="Q4 NGL Price" numFmtId="0" formula="'NGL Revenue Q4'/'NGL Sales Q4'" databaseField="0"/>
    <cacheField name="Annual NGL Price" numFmtId="0" formula="'NGL Revenue Annual'/'NGL Sales Annual'" databaseField="0"/>
    <cacheField name="Revisions" numFmtId="0" formula=" ('Revisions (BCF)'/6)+'Revisions (MMB)'+'Revisions (MMB)2'" databaseField="0"/>
    <cacheField name="Extensions, Discoveries, Other" numFmtId="0" formula=" ('Extensions, Discoveries, &amp; Other Additions (BCF)'/6)+'Extensions, Discoveries, &amp; Other Additions (MMB)'+'Extensions, Discoveries, &amp; Other Additions (MMB)2'" databaseField="0"/>
    <cacheField name="Purchases of Reserves" numFmtId="0" formula="('Purchases (BCF)'/6)+'Purchases (MMB)'+'Purchases (MMB)2'" databaseField="0"/>
    <cacheField name="Improved Recovery" numFmtId="0" formula=" ('Improved Recovery (BCF)'/6)+'Improved Recovery (MMB)'+'Improved Recovery (MMB)2'" databaseField="0"/>
    <cacheField name="Natural Gas Production:Total U.S. Production" numFmtId="0" formula="'US Natural Gas Production  (BCF)'/'US Total Production (BCFE)'" databaseField="0"/>
    <cacheField name="Cash Costs ($/MCFE)" numFmtId="0" formula="'US Cash Costs ($MM)'/'US Total Production (BCFE)'" databaseField="0"/>
    <cacheField name="US Gas PUDs (MMBOE)" numFmtId="0" formula="'Gas US PUDs BCF'/6" databaseField="0"/>
    <cacheField name="US Gas Additions (MMBOE)" numFmtId="0" formula="'US Natural Gas Addition (BCF)'/6" databaseField="0"/>
    <cacheField name="US Natural Gas Production (MMBOE)" numFmtId="0" formula="'US Natural Gas Production  (BCF)'/6" databaseField="0"/>
    <cacheField name="3-Year MA FD Costs ($/BOE)" numFmtId="0" formula="'3-Year Moving Sum FD Costs ($MM)'/'3-Year Moving Sum Total Additions (MMBOE)'" databaseField="0"/>
    <cacheField name="10% Return ($/BOE)" numFmtId="0" formula="'10% Return $MM'/'US Total Production (MMBOE)'" databaseField="0"/>
    <cacheField name="3-Year MA FD Costs ($/MCFE)" numFmtId="0" formula="'3-Year Moving Sum FD Costs ($MM)'/'3-Year Moving Sum Total Additions (BCFE)'" databaseField="0"/>
    <cacheField name="10% Return ($/MCFE)" numFmtId="0" formula="'10% Return $MM'/'US Total Production (BCFE)'" databaseField="0"/>
    <cacheField name="3-Year MA Reserve Additions (MMBOE)" numFmtId="0" formula="'3-Year Moving Sum Total Additions (MMBOE)'/3" databaseField="0"/>
    <cacheField name="3-Year MA FD Capex" numFmtId="0" formula="'3-Year Moving Sum FD Costs ($MM)'/3" databaseField="0"/>
    <cacheField name="US Natural Gas Additions " numFmtId="0" formula="'US Natural Gas Addition (BCF)'/6" databaseField="0"/>
    <cacheField name="Realized Gas Price" numFmtId="0" formula="'Gas Revenue Annual'/'Gas Sales Annual'" databaseField="0"/>
    <cacheField name="Realized Oil Price" numFmtId="0" formula="'Oil and Condensate Revenue Annual'/'Oil and Condensate Sales Annual'" databaseField="0"/>
    <cacheField name="Realized NGL Price" numFmtId="0" formula="'NGL Revenue Annual'/'NGL Sales Annual'" databaseField="0"/>
    <cacheField name="Average Realized Oil Price" numFmtId="0" formula="'Oil and Condensate Revenue Annual'/'Oil and Condensate Sales Annual'" databaseField="0"/>
    <cacheField name="Average Realized Gas Price" numFmtId="0" formula="'Gas Revenue Annual'/'Gas Sales Annual'" databaseField="0"/>
    <cacheField name="Average Realized NGL Prices" numFmtId="0" formula="'NGL Revenue Annual'/'NGL Sales Annual'" databaseField="0"/>
    <cacheField name="Production Costs" numFmtId="0" formula="'US Production Costs ($MM)'/'US Total Production (MMBOE)'" databaseField="0"/>
    <cacheField name="G&amp;A and Marketing" numFmtId="0" formula="'Adjusted US Upstream G&amp;A and Marketing ($MM)'/'US Total Production (MMBOE)'" databaseField="0"/>
    <cacheField name="Cash Income Taxes" numFmtId="0" formula="'Adjusted US Upstream Cash Income Taxes  ($MM)'/'US Total Production (MMBOE)'" databaseField="0"/>
    <cacheField name="Non-Income Taxes" numFmtId="0" formula="'Adjusted US Upstream Non-Income Taxes ($MM)'/'US Total Production (MMBOE)'" databaseField="0"/>
    <cacheField name="Total Interest Expense" numFmtId="0" formula="'Adjusted US Upstream Total Interest Expense (MM$)'/'US Total Production (MMBOE)'" databaseField="0"/>
    <cacheField name="Cash Costs/Barrel Produced" numFmtId="0" formula="'Production Costs'+'G&amp;A and Marketing'+'Cash Income Taxes'+'Non-Income Taxes'+'Total Interest Expense'"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60">
  <r>
    <s v="Anadarko Petroleum"/>
    <s v="APC"/>
    <x v="0"/>
    <n v="698"/>
    <n v="64"/>
    <n v="0"/>
    <n v="180.33333333333331"/>
    <n v="1082"/>
    <n v="0"/>
    <n v="32"/>
    <n v="0"/>
    <n v="32"/>
    <n v="192"/>
    <n v="212.33333333333331"/>
    <n v="1274"/>
    <n v="0.84929356357927788"/>
    <n v="0.64510166358595189"/>
    <n v="0.35489833641404811"/>
    <n v="0"/>
    <n v="254"/>
    <n v="16"/>
    <n v="2196"/>
    <n v="3816"/>
    <m/>
    <n v="636"/>
    <m/>
    <m/>
    <m/>
    <n v="464"/>
    <n v="460"/>
    <n v="4"/>
    <n v="0"/>
    <n v="928"/>
    <n v="33"/>
    <n v="8"/>
    <n v="0"/>
    <n v="0"/>
    <n v="41"/>
    <n v="0"/>
    <n v="0"/>
    <n v="0"/>
    <n v="0"/>
    <n v="0"/>
    <n v="1174"/>
    <n v="195.66666666666666"/>
    <n v="108"/>
    <n v="9"/>
    <n v="575"/>
    <n v="2623"/>
    <n v="3315"/>
    <m/>
    <m/>
    <m/>
    <m/>
    <m/>
    <s v="Costs &amp; Adds include oil; Sales excluded. Allocation of fair value adjustment ommitted in prperty acquisition costs."/>
    <m/>
    <m/>
    <m/>
    <m/>
    <m/>
    <m/>
    <m/>
    <m/>
    <m/>
    <m/>
    <m/>
    <m/>
    <m/>
    <n v="0"/>
    <n v="0"/>
    <m/>
    <m/>
    <m/>
    <m/>
    <m/>
    <m/>
    <m/>
    <m/>
    <m/>
    <m/>
    <m/>
    <m/>
    <m/>
    <m/>
    <m/>
    <m/>
    <m/>
    <m/>
    <n v="4"/>
    <m/>
    <m/>
    <m/>
    <m/>
    <m/>
  </r>
  <r>
    <s v="Anadarko Petroleum"/>
    <s v="APC"/>
    <x v="1"/>
    <n v="750"/>
    <n v="40"/>
    <n v="14"/>
    <n v="179"/>
    <n v="1074"/>
    <n v="0"/>
    <n v="26"/>
    <n v="0"/>
    <n v="26"/>
    <n v="156"/>
    <n v="205"/>
    <n v="1230"/>
    <n v="0.87317073170731707"/>
    <n v="0.6983240223463687"/>
    <n v="0.22346368715083798"/>
    <n v="7.8212290502793297E-2"/>
    <n v="202"/>
    <n v="55"/>
    <n v="1988"/>
    <n v="3530"/>
    <n v="-286"/>
    <n v="588.33333333333326"/>
    <n v="-47.666666666666742"/>
    <n v="-7.4947589098532608E-2"/>
    <m/>
    <n v="199"/>
    <n v="336"/>
    <n v="0"/>
    <n v="0"/>
    <n v="535"/>
    <n v="-17"/>
    <n v="36"/>
    <n v="0"/>
    <n v="0"/>
    <n v="19"/>
    <n v="76"/>
    <n v="4"/>
    <n v="0"/>
    <n v="0"/>
    <n v="80"/>
    <n v="1129"/>
    <n v="188.16666666666669"/>
    <n v="391"/>
    <n v="26"/>
    <n v="622"/>
    <n v="3240"/>
    <n v="4279"/>
    <m/>
    <m/>
    <m/>
    <m/>
    <m/>
    <s v="Costs &amp; Adds include oil; Sales excluded"/>
    <m/>
    <m/>
    <m/>
    <m/>
    <m/>
    <m/>
    <m/>
    <m/>
    <m/>
    <m/>
    <m/>
    <m/>
    <m/>
    <n v="0"/>
    <n v="0"/>
    <m/>
    <m/>
    <m/>
    <m/>
    <m/>
    <m/>
    <m/>
    <m/>
    <m/>
    <m/>
    <m/>
    <m/>
    <m/>
    <m/>
    <m/>
    <m/>
    <m/>
    <m/>
    <n v="4"/>
    <m/>
    <m/>
    <m/>
    <m/>
    <m/>
  </r>
  <r>
    <s v="Anadarko Petroleum"/>
    <s v="APC"/>
    <x v="2"/>
    <n v="817"/>
    <n v="44"/>
    <n v="19"/>
    <n v="199.16666666666666"/>
    <n v="1195"/>
    <n v="0"/>
    <n v="25"/>
    <n v="0"/>
    <n v="25"/>
    <n v="150"/>
    <n v="224.16666666666666"/>
    <n v="1345"/>
    <n v="0.88847583643122674"/>
    <n v="0.68368200836820081"/>
    <n v="0.22092050209205022"/>
    <n v="9.5397489539748956E-2"/>
    <n v="200"/>
    <n v="61"/>
    <n v="1880"/>
    <n v="3446"/>
    <n v="-84"/>
    <n v="574.33333333333326"/>
    <n v="-14"/>
    <n v="-2.3796033994334279E-2"/>
    <m/>
    <n v="228"/>
    <n v="210"/>
    <n v="149"/>
    <n v="0"/>
    <n v="587"/>
    <n v="45"/>
    <n v="13"/>
    <n v="1"/>
    <n v="0"/>
    <n v="59"/>
    <n v="69"/>
    <n v="2"/>
    <n v="6"/>
    <n v="0"/>
    <n v="77"/>
    <n v="1403"/>
    <n v="233.83333333333331"/>
    <n v="270"/>
    <n v="266"/>
    <n v="743"/>
    <n v="2005"/>
    <n v="3284"/>
    <n v="10878"/>
    <n v="617.66666666666674"/>
    <n v="3706"/>
    <n v="17.611440906637881"/>
    <n v="2.935240151106314"/>
    <s v="Costs &amp; Adds include oil; Sales excluded"/>
    <n v="1412"/>
    <m/>
    <n v="294"/>
    <n v="294"/>
    <n v="194"/>
    <n v="0"/>
    <n v="157.08036350628709"/>
    <n v="0"/>
    <n v="304"/>
    <n v="304"/>
    <n v="732"/>
    <n v="0"/>
    <n v="592.69497982784617"/>
    <n v="7482"/>
    <n v="8210"/>
    <n v="0.80969259539323246"/>
    <n v="2759.7753433341331"/>
    <n v="13.856612602514476"/>
    <n v="2.3094354337524128"/>
    <s v="US Operating loss $5; Non-Income tax is production tax"/>
    <n v="6043.7753433341331"/>
    <n v="604.37753433341334"/>
    <n v="0.18403700801870077"/>
    <n v="3.0345315531384771"/>
    <n v="0.50575525885641281"/>
    <n v="16.488702928870293"/>
    <n v="2.7481171548117156"/>
    <n v="31.468053509152355"/>
    <n v="34.502585062290834"/>
    <n v="47.956756438022651"/>
    <n v="5.2446755848587268"/>
    <n v="5.7504308437151392"/>
    <n v="7.9927927396704419"/>
    <n v="4"/>
    <n v="3.1468053509152356"/>
    <n v="626.73873239061777"/>
    <n v="0.19084614262808092"/>
    <n v="321"/>
    <m/>
  </r>
  <r>
    <s v="Anadarko Petroleum"/>
    <s v="APC"/>
    <x v="3"/>
    <n v="829"/>
    <n v="48"/>
    <n v="23"/>
    <n v="209.16666666666666"/>
    <n v="1255"/>
    <n v="0"/>
    <n v="26"/>
    <n v="0"/>
    <n v="26"/>
    <n v="156"/>
    <n v="235.16666666666666"/>
    <n v="1411"/>
    <n v="0.88944011339475548"/>
    <n v="0.66055776892430274"/>
    <n v="0.22948207171314741"/>
    <n v="0.10996015936254981"/>
    <n v="195"/>
    <n v="85"/>
    <n v="2135"/>
    <n v="3815"/>
    <n v="369"/>
    <n v="635.83333333333326"/>
    <n v="61.5"/>
    <n v="0.10708067324434128"/>
    <m/>
    <n v="851"/>
    <n v="363"/>
    <n v="7"/>
    <n v="0"/>
    <n v="1221"/>
    <n v="32"/>
    <n v="13"/>
    <n v="0"/>
    <n v="0"/>
    <n v="45"/>
    <n v="60"/>
    <n v="10"/>
    <n v="0"/>
    <n v="0"/>
    <n v="70"/>
    <n v="1911"/>
    <n v="318.5"/>
    <n v="428"/>
    <n v="22"/>
    <n v="693"/>
    <n v="2368"/>
    <n v="3511"/>
    <n v="11074"/>
    <n v="740.5"/>
    <n v="4443"/>
    <n v="14.954760297096556"/>
    <n v="2.4924600495160929"/>
    <s v="Costs &amp; Adds include oil; Sales excluded"/>
    <n v="1536"/>
    <m/>
    <n v="274"/>
    <n v="274"/>
    <n v="307"/>
    <n v="0"/>
    <n v="252.07882965829268"/>
    <n v="0"/>
    <n v="456"/>
    <n v="456"/>
    <n v="856"/>
    <n v="0"/>
    <n v="702.86474979641218"/>
    <n v="10009"/>
    <n v="10842"/>
    <n v="0.82110367966870579"/>
    <n v="3220.9435794547048"/>
    <n v="15.398933447592215"/>
    <n v="2.5664889079320359"/>
    <s v="Tax loss due to $4 billion Deepwater Horizon settlement with BP "/>
    <n v="6731.9435794547044"/>
    <n v="673.19435794547053"/>
    <n v="0.19173863797934221"/>
    <n v="3.2184590818110146"/>
    <n v="0.53640984696850247"/>
    <n v="16.785657370517928"/>
    <n v="2.7976095617529881"/>
    <n v="30.353693744688769"/>
    <n v="33.572152826499781"/>
    <n v="47.139351115206694"/>
    <n v="5.0589489574481288"/>
    <n v="5.5953588044166311"/>
    <n v="7.8565585192011174"/>
    <n v="4"/>
    <n v="3.035369374468877"/>
    <n v="634.89809415974003"/>
    <n v="0.18083112906856735"/>
    <n v="364"/>
    <m/>
  </r>
  <r>
    <s v="Anadarko Petroleum"/>
    <s v="APC"/>
    <x v="4"/>
    <n v="852"/>
    <n v="48"/>
    <n v="26"/>
    <n v="216"/>
    <n v="1296"/>
    <n v="0"/>
    <n v="30"/>
    <n v="0"/>
    <n v="30"/>
    <n v="180"/>
    <n v="246"/>
    <n v="1476"/>
    <n v="0.87804878048780488"/>
    <n v="0.65740740740740744"/>
    <n v="0.22222222222222221"/>
    <n v="0.12037037037037036"/>
    <n v="184"/>
    <n v="94"/>
    <n v="2252"/>
    <n v="3920"/>
    <n v="105"/>
    <n v="653.33333333333326"/>
    <n v="17.5"/>
    <n v="2.7522935779816519E-2"/>
    <m/>
    <n v="550"/>
    <n v="614"/>
    <n v="0"/>
    <n v="0"/>
    <n v="1164"/>
    <n v="44"/>
    <n v="52"/>
    <n v="0"/>
    <n v="0"/>
    <n v="96"/>
    <n v="68"/>
    <n v="20"/>
    <n v="0"/>
    <n v="0"/>
    <n v="88"/>
    <n v="2268"/>
    <n v="378"/>
    <n v="610"/>
    <n v="0"/>
    <n v="666"/>
    <n v="2970"/>
    <n v="4246"/>
    <n v="11041"/>
    <n v="930.33333333333326"/>
    <n v="5582"/>
    <n v="11.867789322823361"/>
    <n v="1.9779648871372268"/>
    <s v="Costs &amp; Adds include oil; Sales excluded"/>
    <n v="1729"/>
    <m/>
    <n v="322"/>
    <n v="322"/>
    <n v="262"/>
    <n v="0"/>
    <n v="212.68160558856704"/>
    <n v="0"/>
    <n v="646"/>
    <n v="646"/>
    <n v="986"/>
    <n v="0"/>
    <n v="800.39718744399659"/>
    <n v="12834"/>
    <n v="13882"/>
    <n v="0.81176185339147722"/>
    <n v="3710.0787930325637"/>
    <n v="17.176290708484093"/>
    <n v="2.8627151180806818"/>
    <m/>
    <n v="7956.0787930325641"/>
    <n v="795.60787930325648"/>
    <n v="0.18737820991598128"/>
    <n v="3.6833698115891504"/>
    <n v="0.6138949685981917"/>
    <n v="19.657407407407408"/>
    <n v="3.2762345679012346"/>
    <n v="29.044080031307452"/>
    <n v="32.727449842896604"/>
    <n v="48.701487438714864"/>
    <n v="4.8406800052179086"/>
    <n v="5.4545749738161007"/>
    <n v="8.1169145731191428"/>
    <n v="4"/>
    <n v="2.9044080031307451"/>
    <n v="627.35212867624091"/>
    <n v="0.14775132564207274"/>
    <n v="343"/>
    <m/>
  </r>
  <r>
    <s v="Anadarko Petroleum"/>
    <s v="APC"/>
    <x v="5"/>
    <n v="916"/>
    <n v="54"/>
    <n v="30"/>
    <n v="236.66666666666666"/>
    <n v="1420"/>
    <n v="0"/>
    <n v="31"/>
    <n v="0"/>
    <n v="31"/>
    <n v="186"/>
    <n v="267.66666666666663"/>
    <n v="1606"/>
    <n v="0.88418430884184307"/>
    <n v="0.6450704225352113"/>
    <n v="0.22816901408450704"/>
    <n v="0.12676056338028169"/>
    <n v="193"/>
    <n v="110"/>
    <n v="1884"/>
    <n v="3702"/>
    <n v="-218"/>
    <n v="617"/>
    <n v="-36.333333333333258"/>
    <n v="-5.5612244897959073E-2"/>
    <m/>
    <n v="635"/>
    <n v="418"/>
    <n v="26"/>
    <n v="0"/>
    <n v="1079"/>
    <n v="62"/>
    <n v="9"/>
    <n v="0"/>
    <n v="0"/>
    <n v="71"/>
    <n v="65"/>
    <n v="3"/>
    <n v="0"/>
    <n v="0"/>
    <n v="68"/>
    <n v="1913"/>
    <n v="318.83333333333337"/>
    <n v="224"/>
    <n v="0"/>
    <n v="1064"/>
    <n v="3592"/>
    <n v="4880"/>
    <n v="12637"/>
    <n v="1015.3333333333334"/>
    <n v="6092"/>
    <n v="12.446158896913985"/>
    <n v="2.0743598161523309"/>
    <s v="Costs &amp; Adds include oil; Sales excluded"/>
    <n v="1717"/>
    <m/>
    <n v="318"/>
    <n v="318"/>
    <n v="-300"/>
    <n v="0"/>
    <n v="-247.09585990238566"/>
    <n v="0"/>
    <n v="581"/>
    <n v="581"/>
    <n v="963"/>
    <n v="0"/>
    <n v="793.177710286658"/>
    <n v="12396"/>
    <n v="13307"/>
    <n v="0.82365286634128554"/>
    <n v="3162.0818503842725"/>
    <n v="13.360909226975799"/>
    <n v="2.2268182044959666"/>
    <m/>
    <n v="8042.0818503842729"/>
    <n v="804.20818503842736"/>
    <n v="0.16479675922918594"/>
    <n v="3.398062753683496"/>
    <n v="0.56634379228058263"/>
    <n v="20.619718309859156"/>
    <n v="3.436619718309859"/>
    <n v="25.807068123889785"/>
    <n v="29.205130877573282"/>
    <n v="46.426786433748944"/>
    <n v="4.3011780206482975"/>
    <n v="4.8675218129288798"/>
    <n v="7.7377977389581565"/>
    <n v="4"/>
    <n v="2.5807068123889785"/>
    <n v="610.76727893205816"/>
    <n v="0.12515722928935619"/>
    <n v="528"/>
    <m/>
  </r>
  <r>
    <s v="Anadarko Petroleum"/>
    <s v="APC"/>
    <x v="6"/>
    <n v="965"/>
    <n v="58"/>
    <n v="33"/>
    <n v="251.83333333333334"/>
    <n v="1511"/>
    <n v="0"/>
    <n v="32"/>
    <n v="0"/>
    <n v="32"/>
    <n v="192"/>
    <n v="283.83333333333337"/>
    <n v="1703"/>
    <n v="0.88725778038755143"/>
    <n v="0.63864990072799466"/>
    <n v="0.2303110522832561"/>
    <n v="0.13103904698874916"/>
    <n v="245"/>
    <n v="127"/>
    <n v="2085"/>
    <n v="4317"/>
    <n v="615"/>
    <n v="719.5"/>
    <n v="102.5"/>
    <n v="0.16612641815235007"/>
    <m/>
    <n v="1276"/>
    <n v="416"/>
    <n v="153"/>
    <n v="0"/>
    <n v="1845"/>
    <n v="96"/>
    <n v="52"/>
    <n v="1"/>
    <n v="0"/>
    <n v="149"/>
    <n v="17"/>
    <n v="10"/>
    <n v="9"/>
    <n v="0"/>
    <n v="36"/>
    <n v="2955"/>
    <n v="492.5"/>
    <n v="282"/>
    <n v="324"/>
    <n v="1031"/>
    <n v="4421"/>
    <n v="6058"/>
    <n v="15184"/>
    <n v="1189.3333333333335"/>
    <n v="7136"/>
    <n v="12.766816143497756"/>
    <n v="2.1278026905829597"/>
    <s v="Costs &amp; Adds include oil; Sales excluded"/>
    <n v="1926"/>
    <m/>
    <n v="332"/>
    <n v="332"/>
    <n v="169"/>
    <n v="0"/>
    <n v="139.46735045649029"/>
    <n v="0"/>
    <n v="569"/>
    <n v="569"/>
    <n v="949"/>
    <n v="0"/>
    <n v="783.16281410183012"/>
    <n v="13828"/>
    <n v="14867"/>
    <n v="0.82525059441710236"/>
    <n v="3749.6301645583203"/>
    <n v="14.88933222193906"/>
    <n v="2.4815553703231767"/>
    <m/>
    <n v="9807.6301645583208"/>
    <n v="980.76301645583214"/>
    <n v="0.16189551278571016"/>
    <n v="3.8944924544903987"/>
    <n v="0.64908207574839982"/>
    <n v="24.055592322964923"/>
    <n v="4.0092653871608208"/>
    <n v="27.656148365436817"/>
    <n v="31.550640819927217"/>
    <n v="51.71174068840174"/>
    <n v="4.6093580609061364"/>
    <n v="5.2584401366545359"/>
    <n v="8.6186234480669572"/>
    <n v="4"/>
    <n v="2.7656148365436817"/>
    <n v="696.47400300291724"/>
    <n v="0.11496764658351226"/>
    <n v="621"/>
    <m/>
  </r>
  <r>
    <s v="Anadarko Petroleum"/>
    <s v="APC"/>
    <x v="7"/>
    <n v="951"/>
    <n v="74"/>
    <n v="44"/>
    <n v="276.5"/>
    <n v="1659"/>
    <n v="0"/>
    <n v="35"/>
    <n v="1"/>
    <n v="36"/>
    <n v="216"/>
    <n v="312.5"/>
    <n v="1875"/>
    <n v="0.88480000000000003"/>
    <n v="0.5732368896925859"/>
    <n v="0.26763110307414106"/>
    <n v="0.15913200723327306"/>
    <n v="352"/>
    <n v="162"/>
    <n v="2033"/>
    <n v="5117"/>
    <n v="800"/>
    <n v="852.83333333333326"/>
    <n v="133.33333333333326"/>
    <n v="0.18531387537641869"/>
    <m/>
    <n v="710"/>
    <n v="196"/>
    <n v="0"/>
    <n v="0"/>
    <n v="906"/>
    <n v="167"/>
    <n v="25"/>
    <n v="0"/>
    <n v="0"/>
    <n v="192"/>
    <n v="129"/>
    <n v="5"/>
    <n v="0"/>
    <n v="0"/>
    <n v="134"/>
    <n v="2862"/>
    <n v="477"/>
    <n v="264"/>
    <n v="3"/>
    <n v="1095"/>
    <n v="6158"/>
    <n v="7520"/>
    <n v="18458"/>
    <n v="1288.3333333333335"/>
    <n v="7730"/>
    <n v="14.327037516170762"/>
    <n v="2.3878395860284605"/>
    <s v="Infill Drilling Program Increasing Revisions"/>
    <n v="2281"/>
    <m/>
    <n v="394"/>
    <n v="394"/>
    <n v="956"/>
    <n v="0"/>
    <n v="783.57153143206108"/>
    <n v="0"/>
    <n v="652"/>
    <n v="652"/>
    <n v="973"/>
    <n v="0"/>
    <n v="797.50533481526725"/>
    <n v="15169"/>
    <n v="16375"/>
    <n v="0.81963549312977102"/>
    <n v="4908.0768662473283"/>
    <n v="17.750730076843865"/>
    <n v="2.9584550128073106"/>
    <m/>
    <n v="12428.076866247327"/>
    <n v="1242.8076866247329"/>
    <n v="0.16526697960435277"/>
    <n v="4.4947836767621441"/>
    <n v="0.74913061279369075"/>
    <n v="27.197106690777577"/>
    <n v="4.5328511151295965"/>
    <n v="32.077767593014627"/>
    <n v="36.572551269776774"/>
    <n v="59.274874283792201"/>
    <n v="5.3462945988357706"/>
    <n v="6.0954252116294612"/>
    <n v="9.879145713965368"/>
    <n v="4"/>
    <n v="3.2077767593014626"/>
    <n v="886.9502739468544"/>
    <n v="0.11794551515250723"/>
    <n v="478"/>
    <m/>
  </r>
  <r>
    <s v="Anadarko Petroleum"/>
    <s v="APC"/>
    <x v="8"/>
    <n v="854"/>
    <n v="85"/>
    <n v="45"/>
    <n v="272.33333333333337"/>
    <n v="1634"/>
    <n v="5"/>
    <n v="31"/>
    <n v="2"/>
    <n v="33.833333333333329"/>
    <n v="203"/>
    <n v="306.16666666666669"/>
    <n v="1837"/>
    <n v="0.88949373979314095"/>
    <n v="0.52264381884944922"/>
    <n v="0.31211750305997549"/>
    <n v="0.16523867809057524"/>
    <n v="193"/>
    <n v="68"/>
    <n v="807"/>
    <n v="2373"/>
    <n v="-2744"/>
    <n v="395.5"/>
    <n v="-457.33333333333326"/>
    <n v="-0.5362517099863201"/>
    <m/>
    <n v="-888"/>
    <n v="60"/>
    <n v="8"/>
    <n v="0"/>
    <n v="-820"/>
    <n v="2"/>
    <n v="15"/>
    <n v="0"/>
    <n v="0"/>
    <n v="17"/>
    <n v="-99"/>
    <n v="4"/>
    <n v="0"/>
    <n v="0"/>
    <n v="-95"/>
    <n v="-1288"/>
    <n v="-214.66666666666666"/>
    <n v="293"/>
    <n v="81"/>
    <n v="503"/>
    <n v="3660"/>
    <n v="4537"/>
    <n v="18115"/>
    <n v="754.83333333333337"/>
    <n v="4529"/>
    <n v="23.998675204239344"/>
    <n v="3.9997792007065578"/>
    <m/>
    <n v="2048"/>
    <m/>
    <n v="398"/>
    <n v="398"/>
    <n v="26"/>
    <n v="0"/>
    <n v="20.137853210834383"/>
    <n v="0"/>
    <n v="218"/>
    <n v="218"/>
    <n v="989"/>
    <n v="0"/>
    <n v="766.01295482750788"/>
    <n v="8260"/>
    <n v="9486"/>
    <n v="0.77453281580132238"/>
    <n v="3450.1508080383423"/>
    <n v="12.668852416297462"/>
    <n v="2.1114754027162439"/>
    <m/>
    <n v="7987.1508080383428"/>
    <n v="798.71508080383433"/>
    <n v="0.17604476103236374"/>
    <n v="2.9328583138451685"/>
    <n v="0.48880971897419484"/>
    <n v="16.659730722154219"/>
    <n v="2.7766217870257037"/>
    <n v="36.667527620536802"/>
    <n v="39.600385934381968"/>
    <n v="53.327258342691024"/>
    <n v="6.1112546034228021"/>
    <n v="6.6000643223969968"/>
    <n v="8.8878763904485059"/>
    <n v="4"/>
    <n v="3.6667527620536804"/>
    <n v="998.57900219928581"/>
    <n v="0.22009676045829532"/>
    <n v="369"/>
    <m/>
  </r>
  <r>
    <s v="Anadarko Petroleum"/>
    <s v="APC"/>
    <x v="9"/>
    <n v="766"/>
    <n v="86"/>
    <n v="44"/>
    <n v="257.66666666666669"/>
    <n v="1546"/>
    <n v="5"/>
    <n v="30"/>
    <n v="2"/>
    <n v="32.833333333333329"/>
    <n v="197"/>
    <n v="290.5"/>
    <n v="1743"/>
    <n v="0.88697647733792317"/>
    <n v="0.49547218628719275"/>
    <n v="0.33376455368693397"/>
    <n v="0.17076326002587322"/>
    <n v="181"/>
    <n v="75"/>
    <n v="762"/>
    <n v="2298"/>
    <n v="-75"/>
    <n v="383"/>
    <n v="-12.5"/>
    <n v="-3.1605562579013903E-2"/>
    <m/>
    <n v="310"/>
    <n v="59"/>
    <n v="68"/>
    <n v="0"/>
    <n v="437"/>
    <n v="11"/>
    <n v="24"/>
    <n v="81"/>
    <n v="0"/>
    <n v="116"/>
    <n v="45"/>
    <n v="6"/>
    <n v="5"/>
    <n v="0"/>
    <n v="56"/>
    <n v="1469"/>
    <n v="244.83333333333331"/>
    <n v="178"/>
    <n v="2498"/>
    <n v="398"/>
    <n v="1780"/>
    <n v="4854"/>
    <n v="16911"/>
    <n v="507.16666666666669"/>
    <n v="3043"/>
    <n v="33.344068353598423"/>
    <n v="5.5573447255997372"/>
    <m/>
    <n v="1633"/>
    <m/>
    <n v="317"/>
    <n v="317"/>
    <n v="-882"/>
    <n v="0"/>
    <n v="-662.47030884280582"/>
    <n v="0"/>
    <n v="189"/>
    <n v="189"/>
    <n v="1022"/>
    <n v="0"/>
    <n v="767.62432611944166"/>
    <n v="7153"/>
    <n v="8447"/>
    <n v="0.7511001234045418"/>
    <n v="2244.1540172766358"/>
    <n v="8.7095239997799574"/>
    <n v="1.4515873332966596"/>
    <m/>
    <n v="7098.1540172766363"/>
    <n v="709.8154017276637"/>
    <n v="0.14623308647047048"/>
    <n v="2.7547816367179703"/>
    <n v="0.4591302727863284"/>
    <n v="18.838292367399738"/>
    <n v="3.1397153945666236"/>
    <n v="42.053592353378377"/>
    <n v="44.808373990096349"/>
    <n v="60.891884720778116"/>
    <n v="7.0089320588963968"/>
    <n v="7.4680623316827255"/>
    <n v="10.14864745346302"/>
    <n v="4"/>
    <n v="4.2053592353378377"/>
    <n v="1083.580896305383"/>
    <n v="0.22323463047082467"/>
    <n v="327"/>
    <m/>
  </r>
  <r>
    <s v="Apache Corp"/>
    <s v="APA"/>
    <x v="0"/>
    <n v="280.90199999999999"/>
    <n v="35.938000000000002"/>
    <n v="0"/>
    <n v="82.754999999999995"/>
    <n v="496.53"/>
    <n v="374.76400000000007"/>
    <n v="59.635999999999996"/>
    <n v="0"/>
    <n v="122.09666666666666"/>
    <n v="732.58"/>
    <n v="204.85166666666666"/>
    <n v="1229.1100000000001"/>
    <n v="0.40397523411248781"/>
    <n v="0.56573016736148873"/>
    <n v="0.43426983263851132"/>
    <n v="0"/>
    <n v="156.655"/>
    <n v="0"/>
    <n v="727.85299999999995"/>
    <n v="1667.7829999999999"/>
    <m/>
    <n v="277.96383333333335"/>
    <m/>
    <m/>
    <m/>
    <n v="8.8810000000000002"/>
    <n v="217.56"/>
    <n v="79.531999999999996"/>
    <n v="0"/>
    <n v="305.97300000000001"/>
    <n v="5.5460000000000003"/>
    <n v="31.504000000000001"/>
    <n v="56.954000000000001"/>
    <n v="0"/>
    <n v="94.004000000000005"/>
    <n v="0"/>
    <n v="0"/>
    <n v="0"/>
    <n v="0"/>
    <n v="0"/>
    <n v="869.99700000000007"/>
    <n v="144.99950000000001"/>
    <n v="0"/>
    <n v="965.476"/>
    <n v="139.09200000000001"/>
    <n v="1470.98"/>
    <n v="2575.5479999999998"/>
    <m/>
    <m/>
    <m/>
    <m/>
    <m/>
    <s v="Extensions, discoveries, purchases &amp;  and revisions. Excludes sales. Capital is US costs incurred less cap. Interest and asset retirement costs"/>
    <m/>
    <m/>
    <m/>
    <m/>
    <m/>
    <m/>
    <m/>
    <m/>
    <m/>
    <m/>
    <m/>
    <m/>
    <m/>
    <n v="0"/>
    <n v="0"/>
    <m/>
    <m/>
    <m/>
    <m/>
    <m/>
    <m/>
    <m/>
    <m/>
    <m/>
    <m/>
    <m/>
    <m/>
    <m/>
    <m/>
    <m/>
    <m/>
    <m/>
    <m/>
    <n v="4"/>
    <m/>
    <m/>
    <m/>
    <m/>
    <m/>
  </r>
  <r>
    <s v="Apache Corp"/>
    <s v="APA"/>
    <x v="1"/>
    <n v="248.83500000000001"/>
    <n v="35.057000000000002"/>
    <n v="0"/>
    <n v="76.529500000000013"/>
    <n v="459.17700000000002"/>
    <n v="343.20999999999992"/>
    <n v="61.861999999999995"/>
    <n v="0"/>
    <n v="119.06366666666665"/>
    <n v="714.38199999999983"/>
    <n v="195.59316666666666"/>
    <n v="1173.5589999999997"/>
    <n v="0.3912687815440043"/>
    <n v="0.54191520916770652"/>
    <n v="0.45808479083229336"/>
    <n v="0"/>
    <n v="151.24799999999999"/>
    <n v="0"/>
    <n v="670.19399999999996"/>
    <n v="1577.6819999999998"/>
    <n v="-90.101000000000113"/>
    <n v="262.947"/>
    <n v="-15.016833333333352"/>
    <n v="-5.402441444720333E-2"/>
    <m/>
    <n v="-175.834"/>
    <n v="247.1"/>
    <n v="27.550999999999998"/>
    <n v="0"/>
    <n v="98.816999999999993"/>
    <n v="-31.54"/>
    <n v="38.01"/>
    <n v="1.919"/>
    <n v="0"/>
    <n v="8.3889999999999993"/>
    <n v="0"/>
    <n v="0"/>
    <n v="0"/>
    <n v="0"/>
    <n v="0"/>
    <n v="149.15099999999998"/>
    <n v="24.858499999999999"/>
    <n v="75.436999999999998"/>
    <n v="69.641999999999996"/>
    <n v="382.01900000000001"/>
    <n v="1801.454"/>
    <n v="2328.5519999999997"/>
    <m/>
    <m/>
    <m/>
    <m/>
    <m/>
    <s v="Extensions, discoveries, purchases &amp;  and revisions. Excludes sales. Capital is US costs incurred less cap. Interest and asset retirement costs"/>
    <m/>
    <m/>
    <m/>
    <m/>
    <m/>
    <m/>
    <m/>
    <m/>
    <m/>
    <m/>
    <m/>
    <m/>
    <m/>
    <n v="0"/>
    <n v="0"/>
    <m/>
    <m/>
    <m/>
    <m/>
    <m/>
    <m/>
    <m/>
    <m/>
    <m/>
    <m/>
    <m/>
    <m/>
    <m/>
    <m/>
    <m/>
    <m/>
    <m/>
    <m/>
    <n v="4"/>
    <m/>
    <m/>
    <m/>
    <m/>
    <m/>
  </r>
  <r>
    <s v="Apache Corp"/>
    <s v="APA"/>
    <x v="2"/>
    <n v="243.12"/>
    <n v="34.773000000000003"/>
    <n v="0"/>
    <n v="75.293000000000006"/>
    <n v="451.75800000000004"/>
    <n v="398.84699999999998"/>
    <n v="71.146999999999991"/>
    <n v="0"/>
    <n v="137.62149999999997"/>
    <n v="825.72899999999993"/>
    <n v="212.91449999999998"/>
    <n v="1277.4870000000001"/>
    <n v="0.35363021306674747"/>
    <n v="0.53816423837541338"/>
    <n v="0.46183576162458662"/>
    <n v="0"/>
    <n v="150.62700000000001"/>
    <n v="0"/>
    <n v="652.76599999999996"/>
    <n v="1556.528"/>
    <n v="-21.153999999999769"/>
    <n v="259.42133333333334"/>
    <n v="-3.5256666666666661"/>
    <n v="-1.3408278727905875E-2"/>
    <m/>
    <n v="-54.591000000000001"/>
    <n v="150.66800000000001"/>
    <n v="47.781999999999996"/>
    <n v="0"/>
    <n v="143.85899999999998"/>
    <n v="12.981"/>
    <n v="17.641999999999999"/>
    <n v="13.023"/>
    <n v="0"/>
    <n v="43.646000000000001"/>
    <n v="0"/>
    <n v="0"/>
    <n v="0"/>
    <n v="0"/>
    <n v="0"/>
    <n v="405.73499999999996"/>
    <n v="67.622500000000002"/>
    <n v="0"/>
    <n v="196"/>
    <n v="233"/>
    <n v="695"/>
    <n v="1124"/>
    <n v="6028.0999999999995"/>
    <n v="237.48050000000001"/>
    <n v="1424.883"/>
    <n v="25.383557807904225"/>
    <n v="4.2305929679840375"/>
    <s v="Extensions, discoveries, purchases &amp;  and revisions. Excludes sales. Capital is US costs incurred less cap. Interest and asset retirement costs"/>
    <n v="797.23800000000006"/>
    <n v="343.88299999999998"/>
    <n v="0"/>
    <n v="121.60741856003231"/>
    <n v="686"/>
    <n v="0"/>
    <n v="242.59032616378877"/>
    <n v="0"/>
    <n v="106.792"/>
    <n v="106.792"/>
    <n v="309"/>
    <n v="0"/>
    <n v="109.27173583762497"/>
    <n v="8574"/>
    <n v="8574"/>
    <n v="0.35363021306674747"/>
    <n v="1377.499480561446"/>
    <n v="18.295186545381988"/>
    <n v="3.0491977575636646"/>
    <s v="Company had federal and state operating losses in 09 and carryforwards"/>
    <n v="2501.499480561446"/>
    <n v="250.14994805614461"/>
    <n v="0.22255333456952367"/>
    <n v="3.322353313802672"/>
    <n v="0.55372555230044529"/>
    <n v="14.928346592644733"/>
    <n v="2.4880577654407889"/>
    <n v="43.678744353286213"/>
    <n v="47.001097667088885"/>
    <n v="58.607090945930949"/>
    <n v="7.2797907255477021"/>
    <n v="7.8335162778481475"/>
    <n v="9.7678484909884915"/>
    <n v="4"/>
    <n v="4.3678744353286216"/>
    <n v="328.87036985919792"/>
    <n v="0.29258929702775616"/>
    <m/>
    <n v="1479"/>
  </r>
  <r>
    <s v="Apache Corp"/>
    <s v="APA"/>
    <x v="3"/>
    <n v="266.75900000000001"/>
    <n v="40.277999999999999"/>
    <n v="0"/>
    <n v="84.737833333333327"/>
    <n v="508.42700000000002"/>
    <n v="422.60199999999998"/>
    <n v="84.865000000000009"/>
    <n v="0"/>
    <n v="155.29866666666669"/>
    <n v="931.79200000000003"/>
    <n v="240.03650000000002"/>
    <n v="1440.2190000000001"/>
    <n v="0.35302061700338627"/>
    <n v="0.52467512543590333"/>
    <n v="0.47532487456409672"/>
    <n v="0"/>
    <n v="214.11699999999999"/>
    <n v="30.361000000000001"/>
    <n v="988.86900000000003"/>
    <n v="2455.7370000000001"/>
    <n v="899.20900000000006"/>
    <n v="409.28949999999998"/>
    <n v="149.86816666666664"/>
    <n v="0.5777017824285845"/>
    <m/>
    <n v="47.988999999999997"/>
    <n v="951.654"/>
    <n v="102.18"/>
    <n v="0"/>
    <n v="1101.8230000000001"/>
    <n v="7.5970000000000004"/>
    <n v="195.131"/>
    <n v="72.927999999999997"/>
    <n v="0"/>
    <n v="275.65600000000001"/>
    <n v="0"/>
    <n v="0"/>
    <n v="0"/>
    <n v="0"/>
    <n v="0"/>
    <n v="2755.759"/>
    <n v="459.29316666666671"/>
    <n v="2497"/>
    <n v="5604"/>
    <n v="261"/>
    <n v="573"/>
    <n v="8935"/>
    <n v="12387.552"/>
    <n v="551.7741666666667"/>
    <n v="3310.645"/>
    <n v="22.450402263003127"/>
    <n v="3.7417337105005215"/>
    <s v="Extensions, discoveries, purchases &amp;  and revisions. Excludes sales. Capital is US costs incurred less cap. Interest and asset retirement costs"/>
    <n v="966"/>
    <n v="380"/>
    <n v="0"/>
    <n v="134.14783446128675"/>
    <n v="1170"/>
    <n v="0"/>
    <n v="413.03412189396187"/>
    <n v="0"/>
    <n v="177"/>
    <n v="177"/>
    <n v="345"/>
    <n v="0"/>
    <n v="121.79211286616824"/>
    <n v="12183"/>
    <n v="12183"/>
    <n v="0.35302061700338622"/>
    <n v="1811.9740692214168"/>
    <n v="21.383294780427676"/>
    <n v="3.563882463404612"/>
    <m/>
    <n v="10746.974069221416"/>
    <n v="1074.6974069221417"/>
    <n v="0.12027950832928279"/>
    <n v="12.682616071791724"/>
    <n v="2.1137693452986204"/>
    <n v="105.44286593748956"/>
    <n v="17.573810989581592"/>
    <n v="43.833697043430803"/>
    <n v="56.51631311522253"/>
    <n v="149.27656298092035"/>
    <n v="7.3056161739051335"/>
    <n v="9.4193855192037539"/>
    <n v="24.879427163486724"/>
    <n v="4"/>
    <n v="4.3833697043430799"/>
    <n v="371.4372514450065"/>
    <n v="4.1571041012311863E-2"/>
    <m/>
    <n v="5048"/>
  </r>
  <r>
    <s v="Apache Corp"/>
    <s v="APA"/>
    <x v="4"/>
    <n v="315.63099999999997"/>
    <n v="43.587000000000003"/>
    <n v="8.0709999999999997"/>
    <n v="104.26316666666666"/>
    <n v="625.57900000000006"/>
    <n v="510.13900000000001"/>
    <n v="80.492999999999995"/>
    <n v="3.2949999999999999"/>
    <n v="168.81116666666665"/>
    <n v="1012.867"/>
    <n v="273.0743333333333"/>
    <n v="1638.4459999999999"/>
    <n v="0.38181240028661312"/>
    <n v="0.50454219211322626"/>
    <n v="0.41804792040653543"/>
    <n v="7.7409887480238304E-2"/>
    <n v="205.76300000000001"/>
    <n v="52.542999999999999"/>
    <n v="760.23800000000006"/>
    <n v="2310.0740000000001"/>
    <n v="-145.66300000000001"/>
    <n v="385.01233333333334"/>
    <n v="-24.277166666666631"/>
    <n v="-5.9315390858222926E-2"/>
    <m/>
    <n v="-7.7160000000000002"/>
    <n v="169.506"/>
    <n v="67.594999999999999"/>
    <n v="0"/>
    <n v="229.38499999999999"/>
    <n v="-8.9039999999999999"/>
    <n v="45.676000000000002"/>
    <n v="5.0970000000000004"/>
    <n v="0"/>
    <n v="41.869000000000007"/>
    <n v="1.7130000000000001"/>
    <n v="43.914999999999999"/>
    <n v="0.58599999999999997"/>
    <n v="0"/>
    <n v="46.213999999999999"/>
    <n v="757.88300000000004"/>
    <n v="126.31383333333333"/>
    <n v="116"/>
    <n v="368"/>
    <n v="418"/>
    <n v="2300"/>
    <n v="3202"/>
    <n v="13261"/>
    <n v="653.22950000000014"/>
    <n v="3919.3770000000004"/>
    <n v="20.300675336922165"/>
    <n v="3.3834458894870276"/>
    <s v="Extensions, discoveries, purchases &amp;  and revisions. Excludes sales. Capital is US costs incurred less cap. Interest and asset retirement costs"/>
    <n v="1231"/>
    <n v="459"/>
    <n v="0"/>
    <n v="175.25189173155542"/>
    <n v="1686"/>
    <n v="0"/>
    <n v="643.73570688322968"/>
    <n v="0"/>
    <n v="259"/>
    <n v="259"/>
    <n v="433"/>
    <n v="0"/>
    <n v="165.32476932410347"/>
    <n v="16810"/>
    <n v="16810"/>
    <n v="0.38181240028661312"/>
    <n v="2474.3123679388882"/>
    <n v="23.731413950329742"/>
    <n v="3.9552356583882897"/>
    <m/>
    <n v="5676.3123679388882"/>
    <n v="567.63123679388889"/>
    <n v="0.17727396526979666"/>
    <n v="5.4442163511935879"/>
    <n v="0.90736939186559784"/>
    <n v="30.710749561606129"/>
    <n v="5.1184582602676878"/>
    <n v="44.032089287251907"/>
    <n v="49.476305638445496"/>
    <n v="74.742838848858042"/>
    <n v="7.3386815478753178"/>
    <n v="8.2460509397409147"/>
    <n v="12.457139808143005"/>
    <n v="4"/>
    <n v="4.4032089287251903"/>
    <n v="459.0925064038293"/>
    <n v="0.14337679775260129"/>
    <m/>
    <n v="5530"/>
  </r>
  <r>
    <s v="Apache Corp"/>
    <s v="APA"/>
    <x v="5"/>
    <n v="312.60000000000002"/>
    <n v="49.088999999999999"/>
    <n v="12.272"/>
    <n v="113.461"/>
    <n v="680.76600000000008"/>
    <n v="526.803"/>
    <n v="79.751000000000005"/>
    <n v="3.984"/>
    <n v="171.53550000000001"/>
    <n v="1029.213"/>
    <n v="284.99650000000003"/>
    <n v="1709.979"/>
    <n v="0.39811366104496021"/>
    <n v="0.45918861987819604"/>
    <n v="0.43265086681767301"/>
    <n v="0.10816051330413094"/>
    <n v="203.06800000000001"/>
    <n v="60.889000000000003"/>
    <n v="832.32"/>
    <n v="2416.0620000000004"/>
    <n v="105.98800000000028"/>
    <n v="402.67700000000002"/>
    <n v="17.664666666666676"/>
    <n v="4.5880781308304433E-2"/>
    <m/>
    <n v="-156.84"/>
    <n v="365.863"/>
    <n v="313.88499999999999"/>
    <n v="0"/>
    <n v="522.90800000000002"/>
    <n v="-7.4740000000000002"/>
    <n v="84.656000000000006"/>
    <n v="15.942"/>
    <n v="0"/>
    <n v="93.123999999999995"/>
    <n v="-4.5590000000000002"/>
    <n v="71.965000000000003"/>
    <n v="0.23"/>
    <n v="0"/>
    <n v="67.63600000000001"/>
    <n v="1487.4680000000001"/>
    <n v="247.91133333333335"/>
    <n v="3334"/>
    <n v="1076"/>
    <n v="364"/>
    <n v="3777"/>
    <n v="8551"/>
    <n v="20688"/>
    <n v="833.51833333333343"/>
    <n v="5001.1099999999997"/>
    <n v="24.820089940033309"/>
    <n v="4.1366816566722191"/>
    <s v="Extensions, discoveries, purchases &amp;  and revisions. Excludes sales. Capital is US costs incurred less cap. Interest and asset retirement costs"/>
    <n v="1455"/>
    <n v="515"/>
    <n v="0"/>
    <n v="205.02853543815451"/>
    <n v="2590"/>
    <n v="0"/>
    <n v="1031.114382106447"/>
    <n v="0"/>
    <n v="292"/>
    <n v="292"/>
    <n v="501"/>
    <n v="0"/>
    <n v="199.45494418352507"/>
    <n v="16564"/>
    <n v="16564"/>
    <n v="0.39811366104496021"/>
    <n v="3182.5978617281266"/>
    <n v="28.05014817186634"/>
    <n v="4.6750246953110555"/>
    <m/>
    <n v="11733.597861728127"/>
    <n v="1173.3597861728128"/>
    <n v="0.13721901370281989"/>
    <n v="10.341525159947585"/>
    <n v="1.7235875266579306"/>
    <n v="75.365103427609483"/>
    <n v="12.560850571268247"/>
    <n v="52.870238111899653"/>
    <n v="63.211763271847239"/>
    <n v="128.23534153950914"/>
    <n v="8.8117063519832755"/>
    <n v="10.535293878641205"/>
    <n v="21.372556923251523"/>
    <n v="4"/>
    <n v="5.2870238111899654"/>
    <n v="599.87100864142462"/>
    <n v="7.0152146958417094E-2"/>
    <m/>
    <n v="8754"/>
  </r>
  <r>
    <s v="Apache Corp"/>
    <s v="APA"/>
    <x v="6"/>
    <n v="285.18700000000001"/>
    <n v="53.621000000000002"/>
    <n v="19.922000000000001"/>
    <n v="121.07416666666667"/>
    <n v="726.44500000000005"/>
    <n v="480.25"/>
    <n v="72.894000000000005"/>
    <n v="3.6729999999999983"/>
    <n v="156.60866666666669"/>
    <n v="939.65200000000004"/>
    <n v="277.68283333333335"/>
    <n v="1666.0970000000002"/>
    <n v="0.43601603027914937"/>
    <n v="0.39257892889344687"/>
    <n v="0.44287729972675149"/>
    <n v="0.16454377137980164"/>
    <n v="195.83500000000001"/>
    <n v="63.537999999999997"/>
    <n v="667.16"/>
    <n v="2223.3979999999997"/>
    <n v="-192.66400000000067"/>
    <n v="370.56633333333332"/>
    <n v="-32.110666666666702"/>
    <n v="-7.9742986727989684E-2"/>
    <m/>
    <n v="61.247"/>
    <n v="306.721"/>
    <n v="0.85499999999999998"/>
    <n v="0"/>
    <n v="368.82300000000004"/>
    <n v="1.6830000000000001"/>
    <n v="133.227"/>
    <n v="8.5000000000000006E-2"/>
    <n v="0"/>
    <n v="134.995"/>
    <n v="1.591"/>
    <n v="69.230999999999995"/>
    <n v="4.4999999999999998E-2"/>
    <n v="0"/>
    <n v="70.86699999999999"/>
    <n v="1603.9950000000001"/>
    <n v="267.33249999999998"/>
    <n v="195"/>
    <n v="17"/>
    <n v="562"/>
    <n v="4716"/>
    <n v="5490"/>
    <n v="17243"/>
    <n v="641.55766666666659"/>
    <n v="3849.3460000000005"/>
    <n v="26.87677335318779"/>
    <n v="4.4794622255312975"/>
    <s v="Extensions, discoveries, purchases &amp;  and revisions. Excludes sales. Capital is US costs incurred less cap. Interest and asset retirement costs"/>
    <n v="1404"/>
    <n v="482"/>
    <n v="0"/>
    <n v="210.15972659454999"/>
    <n v="1766"/>
    <n v="0"/>
    <n v="770.00430947297775"/>
    <n v="0"/>
    <n v="324"/>
    <n v="324"/>
    <n v="560"/>
    <n v="0"/>
    <n v="244.16897695632366"/>
    <n v="14771"/>
    <n v="14771"/>
    <n v="0.43601603027914937"/>
    <n v="2952.333013023851"/>
    <n v="24.384499966471111"/>
    <n v="4.0640833277451849"/>
    <m/>
    <n v="8442.3330130238501"/>
    <n v="844.23330130238503"/>
    <n v="0.15377655761427778"/>
    <n v="6.9728607228548753"/>
    <n v="1.162143453809146"/>
    <n v="45.34410726207765"/>
    <n v="7.5573512103462752"/>
    <n v="51.261273319658898"/>
    <n v="58.234134042513773"/>
    <n v="96.60538058173654"/>
    <n v="8.5435455532764824"/>
    <n v="9.7056890070856277"/>
    <n v="16.100896763622757"/>
    <n v="4"/>
    <n v="5.1261273319658898"/>
    <n v="620.64159494499347"/>
    <n v="0.11304947084608261"/>
    <m/>
    <n v="8363"/>
  </r>
  <r>
    <s v="Apache Corp"/>
    <s v="APA"/>
    <x v="7"/>
    <n v="215.82900000000001"/>
    <n v="48.789000000000001"/>
    <n v="21.463999999999999"/>
    <n v="106.22450000000001"/>
    <n v="637.34699999999998"/>
    <n v="375.59099999999995"/>
    <n v="69.623000000000005"/>
    <n v="3.1310000000000002"/>
    <n v="135.35249999999999"/>
    <n v="812.11500000000001"/>
    <n v="241.577"/>
    <n v="1449.462"/>
    <n v="0.43971280378512856"/>
    <n v="0.33863656689370158"/>
    <n v="0.45930082043219783"/>
    <n v="0.20206261267410058"/>
    <n v="170.125"/>
    <n v="69.828000000000003"/>
    <n v="580.29899999999998"/>
    <n v="2020.0170000000001"/>
    <n v="-203.38099999999963"/>
    <n v="336.66949999999997"/>
    <n v="-33.896833333333348"/>
    <n v="-9.1473051608394043E-2"/>
    <m/>
    <n v="35.909999999999997"/>
    <n v="203.31800000000001"/>
    <n v="21.337"/>
    <n v="0"/>
    <n v="260.565"/>
    <n v="3.0830000000000002"/>
    <n v="57.011000000000003"/>
    <n v="15.24"/>
    <n v="0"/>
    <n v="75.334000000000003"/>
    <n v="2.5939999999999999"/>
    <n v="47.515999999999998"/>
    <n v="2.9159999999999999"/>
    <n v="0"/>
    <n v="53.025999999999996"/>
    <n v="1030.7249999999999"/>
    <n v="171.78750000000002"/>
    <n v="1221"/>
    <n v="102"/>
    <n v="505"/>
    <n v="5018"/>
    <n v="6846"/>
    <n v="20887"/>
    <n v="687.03133333333335"/>
    <n v="4122.1880000000001"/>
    <n v="30.401815734750574"/>
    <n v="5.0669692891250957"/>
    <m/>
    <n v="1014"/>
    <n v="453"/>
    <n v="0"/>
    <n v="199.1899001146632"/>
    <n v="1357"/>
    <n v="0"/>
    <n v="596.69027473641938"/>
    <n v="0"/>
    <n v="350"/>
    <n v="350"/>
    <n v="499"/>
    <n v="0"/>
    <n v="219.41668908877912"/>
    <n v="12691"/>
    <n v="12691"/>
    <n v="0.4397128037851285"/>
    <n v="2379.2968639398614"/>
    <n v="22.398757950753932"/>
    <n v="3.7331263251256561"/>
    <m/>
    <n v="9225.2968639398605"/>
    <n v="922.52968639398614"/>
    <n v="0.13475455541834447"/>
    <n v="8.6847166745335223"/>
    <n v="1.4474527790889204"/>
    <n v="64.448408794581283"/>
    <n v="10.741401465763548"/>
    <n v="52.800573685504503"/>
    <n v="61.485290360038022"/>
    <n v="117.24898248008579"/>
    <n v="8.8000956142507523"/>
    <n v="10.247548393339672"/>
    <n v="19.541497080014302"/>
    <n v="4"/>
    <n v="5.2800573685504499"/>
    <n v="560.87145394558729"/>
    <n v="8.1926884888341697E-2"/>
    <m/>
    <n v="7014"/>
  </r>
  <r>
    <s v="Apache Corp"/>
    <s v="APA"/>
    <x v="8"/>
    <n v="160.614"/>
    <n v="45.137999999999998"/>
    <n v="19.684000000000001"/>
    <n v="91.590999999999994"/>
    <n v="549.54600000000005"/>
    <n v="293.15800000000002"/>
    <n v="63.353000000000002"/>
    <n v="3.036999999999999"/>
    <n v="115.24966666666668"/>
    <n v="691.49800000000005"/>
    <n v="206.84066666666666"/>
    <n v="1241.0440000000001"/>
    <n v="0.44280944108347486"/>
    <n v="0.29226670742758565"/>
    <n v="0.49282134707558606"/>
    <n v="0.21491194549682832"/>
    <n v="60.505000000000003"/>
    <n v="24.939"/>
    <n v="208.59399999999999"/>
    <n v="721.25800000000004"/>
    <n v="-1298.759"/>
    <n v="120.20966666666666"/>
    <n v="-216.45983333333331"/>
    <n v="-0.64294458908019092"/>
    <m/>
    <n v="-503.96899999999999"/>
    <n v="40.901000000000003"/>
    <n v="0"/>
    <n v="0"/>
    <n v="-463.06799999999998"/>
    <n v="-173.90700000000001"/>
    <n v="13.903"/>
    <n v="0"/>
    <n v="0"/>
    <n v="-160.00400000000002"/>
    <n v="-64.225999999999999"/>
    <n v="5.7679999999999998"/>
    <n v="0"/>
    <n v="0"/>
    <n v="-58.457999999999998"/>
    <n v="-1773.8400000000001"/>
    <n v="-295.64"/>
    <n v="313"/>
    <n v="1"/>
    <n v="194"/>
    <n v="1606"/>
    <n v="2114"/>
    <n v="14450"/>
    <n v="143.48000000000002"/>
    <n v="860.88000000000011"/>
    <n v="100.71090047393363"/>
    <n v="16.785150078988938"/>
    <m/>
    <n v="807"/>
    <n v="380"/>
    <n v="0"/>
    <n v="168.26758761172044"/>
    <n v="573"/>
    <n v="0"/>
    <n v="253.72980974083109"/>
    <n v="0"/>
    <n v="184"/>
    <n v="184"/>
    <n v="486"/>
    <n v="0"/>
    <n v="215.2053883665688"/>
    <n v="6383"/>
    <n v="6383"/>
    <n v="0.44280944108347486"/>
    <n v="1628.2027857191204"/>
    <n v="17.776886219378763"/>
    <n v="2.9628143698964604"/>
    <m/>
    <n v="3742.2027857191206"/>
    <n v="374.2202785719121"/>
    <n v="0.17701999932446175"/>
    <n v="4.0857756610574416"/>
    <n v="0.68096261017624016"/>
    <n v="23.080870391195642"/>
    <n v="3.8468117318659401"/>
    <n v="118.4877866933124"/>
    <n v="122.57356235436984"/>
    <n v="141.56865708450803"/>
    <n v="19.747964448885398"/>
    <n v="20.428927059061639"/>
    <n v="23.594776180751339"/>
    <n v="4"/>
    <n v="11.84877866933124"/>
    <n v="1085.2414871027177"/>
    <n v="0.51335926542228838"/>
    <m/>
    <n v="2611"/>
  </r>
  <r>
    <s v="Apache Corp"/>
    <s v="APA"/>
    <x v="9"/>
    <n v="145.01900000000001"/>
    <n v="38"/>
    <n v="19.824000000000002"/>
    <n v="81.993833333333328"/>
    <n v="491.96300000000002"/>
    <n v="258.51400000000001"/>
    <n v="62.744"/>
    <n v="3.1179999999999986"/>
    <n v="108.94766666666666"/>
    <n v="653.68600000000004"/>
    <n v="190.94149999999999"/>
    <n v="1145.6490000000001"/>
    <n v="0.42941860901550122"/>
    <n v="0.29477623317200685"/>
    <n v="0.46344948705492084"/>
    <n v="0.24177427977307239"/>
    <n v="21.088000000000001"/>
    <n v="17.311"/>
    <n v="231.304"/>
    <n v="461.69799999999998"/>
    <n v="-259.56000000000006"/>
    <n v="76.949666666666673"/>
    <n v="-43.259999999999991"/>
    <n v="-0.35987122499854413"/>
    <m/>
    <n v="-215.37799999999999"/>
    <n v="219.63300000000001"/>
    <n v="7.0000000000000001E-3"/>
    <n v="0"/>
    <n v="4.2620000000000235"/>
    <n v="-58.881999999999998"/>
    <n v="9.6140000000000008"/>
    <n v="2.1000000000000001E-2"/>
    <n v="0"/>
    <n v="-49.247"/>
    <n v="6.8239999999999998"/>
    <n v="10.238"/>
    <n v="2E-3"/>
    <n v="0"/>
    <n v="17.063999999999997"/>
    <n v="-188.83599999999998"/>
    <n v="-31.472666666666665"/>
    <n v="110"/>
    <n v="0"/>
    <n v="278"/>
    <n v="450"/>
    <n v="838"/>
    <n v="9798"/>
    <n v="-155.32516666666663"/>
    <n v="-931.95100000000025"/>
    <n v="-63.08056968660371"/>
    <n v="-10.513428281100612"/>
    <m/>
    <n v="633"/>
    <n v="410"/>
    <n v="0"/>
    <n v="176.06162969635548"/>
    <n v="305"/>
    <n v="0"/>
    <n v="130.97267574972784"/>
    <n v="0"/>
    <n v="139"/>
    <n v="139"/>
    <n v="464"/>
    <n v="0"/>
    <n v="199.25023458319254"/>
    <n v="5208"/>
    <n v="5208"/>
    <n v="0.42941860901550116"/>
    <n v="1278.2845400292758"/>
    <n v="15.590008273336929"/>
    <n v="2.5983347122228211"/>
    <m/>
    <n v="2116.2845400292758"/>
    <n v="211.62845400292758"/>
    <n v="0.25253992124454366"/>
    <n v="2.5810289066811234"/>
    <n v="0.43017148444685388"/>
    <n v="10.220280793474307"/>
    <n v="1.7033801322457176"/>
    <n v="-47.490561413266782"/>
    <n v="-44.909532506585656"/>
    <n v="-37.270280619792473"/>
    <n v="-7.9150935688777917"/>
    <n v="-7.4849220844309379"/>
    <n v="-6.2117134366320741"/>
    <n v="4"/>
    <n v="-4.7490561413266779"/>
    <n v="-389.39331774258272"/>
    <n v="-0.46466983024174552"/>
    <m/>
    <n v="1969"/>
  </r>
  <r>
    <s v="Cabot Oil &amp; Gas"/>
    <s v="COG"/>
    <x v="0"/>
    <n v="80.474999999999994"/>
    <n v="0.83"/>
    <n v="0"/>
    <n v="14.2425"/>
    <n v="85.454999999999998"/>
    <n v="0"/>
    <n v="0"/>
    <n v="0"/>
    <n v="0"/>
    <n v="0"/>
    <n v="14.2425"/>
    <n v="85.454999999999998"/>
    <n v="1"/>
    <n v="0.94172371423556256"/>
    <n v="5.827628576443742E-2"/>
    <n v="0"/>
    <n v="2.302"/>
    <n v="0"/>
    <n v="426.01600000000002"/>
    <n v="439.82800000000003"/>
    <m/>
    <n v="73.304666666666677"/>
    <m/>
    <m/>
    <m/>
    <n v="2.6040000000000001"/>
    <n v="265.83"/>
    <n v="3.7010000000000001"/>
    <n v="0"/>
    <n v="272.13499999999999"/>
    <n v="0.77100000000000002"/>
    <n v="1.381"/>
    <n v="3.3000000000000002E-2"/>
    <n v="0"/>
    <n v="2.1850000000000001"/>
    <n v="0"/>
    <n v="0"/>
    <n v="0"/>
    <n v="0"/>
    <n v="0"/>
    <n v="285.245"/>
    <n v="47.540833333333332"/>
    <n v="22.186"/>
    <n v="3.9820000000000002"/>
    <n v="70.242000000000004"/>
    <n v="494.20400000000001"/>
    <n v="590.61400000000003"/>
    <m/>
    <m/>
    <m/>
    <m/>
    <m/>
    <m/>
    <m/>
    <m/>
    <m/>
    <m/>
    <m/>
    <m/>
    <m/>
    <m/>
    <m/>
    <m/>
    <m/>
    <m/>
    <m/>
    <n v="0"/>
    <n v="0"/>
    <m/>
    <m/>
    <m/>
    <m/>
    <m/>
    <m/>
    <m/>
    <m/>
    <m/>
    <m/>
    <m/>
    <m/>
    <m/>
    <m/>
    <m/>
    <m/>
    <m/>
    <m/>
    <n v="4"/>
    <m/>
    <m/>
    <m/>
    <m/>
    <m/>
  </r>
  <r>
    <s v="Cabot Oil &amp; Gas"/>
    <s v="COG"/>
    <x v="1"/>
    <n v="90.424999999999997"/>
    <n v="0.79400000000000004"/>
    <n v="0"/>
    <n v="15.864833333333333"/>
    <n v="95.188999999999993"/>
    <n v="0"/>
    <n v="0"/>
    <n v="0"/>
    <n v="0"/>
    <n v="0"/>
    <n v="15.864833333333333"/>
    <n v="95.188999999999993"/>
    <n v="1"/>
    <n v="0.94995220035928529"/>
    <n v="5.0047799640714791E-2"/>
    <n v="0"/>
    <n v="2.613"/>
    <n v="0"/>
    <n v="577.83799999999997"/>
    <n v="593.51599999999996"/>
    <n v="153.68799999999993"/>
    <n v="98.919333333333327"/>
    <n v="25.61466666666665"/>
    <n v="0.34942750347863227"/>
    <m/>
    <n v="-47.744999999999997"/>
    <n v="297.089"/>
    <n v="167.262"/>
    <n v="0"/>
    <n v="416.60599999999999"/>
    <n v="-1.593"/>
    <n v="1.1339999999999999"/>
    <n v="1.268"/>
    <n v="0"/>
    <n v="0.80899999999999994"/>
    <n v="0"/>
    <n v="0"/>
    <n v="0"/>
    <n v="0"/>
    <n v="0"/>
    <n v="421.46"/>
    <n v="70.243333333333325"/>
    <n v="152.666"/>
    <n v="605.86"/>
    <n v="89.02"/>
    <n v="594.221"/>
    <n v="1441.7670000000001"/>
    <m/>
    <m/>
    <m/>
    <m/>
    <m/>
    <m/>
    <m/>
    <m/>
    <m/>
    <m/>
    <m/>
    <m/>
    <m/>
    <m/>
    <m/>
    <m/>
    <m/>
    <m/>
    <m/>
    <n v="0"/>
    <n v="0"/>
    <m/>
    <m/>
    <m/>
    <m/>
    <m/>
    <m/>
    <m/>
    <m/>
    <m/>
    <m/>
    <m/>
    <m/>
    <m/>
    <m/>
    <m/>
    <m/>
    <m/>
    <m/>
    <n v="4"/>
    <m/>
    <m/>
    <m/>
    <m/>
    <m/>
  </r>
  <r>
    <s v="Cabot Oil &amp; Gas"/>
    <s v="COG"/>
    <x v="2"/>
    <n v="97.914000000000001"/>
    <n v="0.84399999999999997"/>
    <n v="0"/>
    <n v="17.163"/>
    <n v="102.97800000000001"/>
    <n v="0"/>
    <n v="0"/>
    <n v="0"/>
    <n v="0"/>
    <n v="0"/>
    <n v="17.163"/>
    <n v="102.97800000000001"/>
    <n v="1"/>
    <n v="0.95082444794033671"/>
    <n v="4.917555205966323E-2"/>
    <n v="0"/>
    <n v="1.7010000000000001"/>
    <n v="0"/>
    <n v="725"/>
    <n v="735.20600000000002"/>
    <n v="141.69000000000005"/>
    <n v="122.53433333333332"/>
    <n v="23.614999999999995"/>
    <n v="0.238729874173569"/>
    <m/>
    <n v="-193.767"/>
    <n v="459.61200000000002"/>
    <n v="9"/>
    <n v="0"/>
    <n v="274.84500000000003"/>
    <n v="-1.0620000000000001"/>
    <n v="0.54400000000000004"/>
    <n v="0"/>
    <n v="0"/>
    <n v="-0.51800000000000002"/>
    <n v="0"/>
    <n v="0"/>
    <n v="0"/>
    <n v="0"/>
    <n v="0"/>
    <n v="271.73700000000002"/>
    <n v="45.289500000000004"/>
    <n v="145.68100000000001"/>
    <n v="0.39400000000000002"/>
    <n v="68.195999999999998"/>
    <n v="379.14"/>
    <n v="593.41100000000006"/>
    <n v="2625.7920000000004"/>
    <n v="163.07366666666667"/>
    <n v="978.44200000000001"/>
    <n v="16.101876248157787"/>
    <n v="2.6836460413596313"/>
    <m/>
    <n v="107.794"/>
    <n v="0"/>
    <n v="68.373999999999995"/>
    <n v="68.373999999999995"/>
    <n v="0"/>
    <n v="27.08"/>
    <n v="27.08"/>
    <n v="0"/>
    <n v="44.649000000000001"/>
    <n v="44.649000000000001"/>
    <n v="0"/>
    <n v="53.241099999999996"/>
    <n v="53.241099999999996"/>
    <n v="743.54300000000001"/>
    <n v="743.54300000000001"/>
    <n v="1"/>
    <n v="301.13809999999995"/>
    <n v="17.545772883528517"/>
    <n v="2.9242954805880861"/>
    <m/>
    <n v="894.54909999999995"/>
    <n v="89.454909999999998"/>
    <n v="0.15074696963824397"/>
    <n v="5.2120788906368345"/>
    <n v="0.86867981510613912"/>
    <n v="34.575016022839833"/>
    <n v="5.7625026704733049"/>
    <n v="33.647649131686308"/>
    <n v="38.859728022323139"/>
    <n v="68.22266515452614"/>
    <n v="5.6079415219477173"/>
    <n v="6.4766213370538566"/>
    <n v="11.370444192421022"/>
    <n v="4"/>
    <n v="3.3647649131686306"/>
    <n v="57.749460204713209"/>
    <n v="9.7317812114560059E-2"/>
    <n v="4.1790000000000003"/>
    <m/>
  </r>
  <r>
    <s v="Cabot Oil &amp; Gas"/>
    <s v="COG"/>
    <x v="3"/>
    <n v="125.474"/>
    <n v="0.85799999999999998"/>
    <n v="0"/>
    <n v="21.770333333333333"/>
    <n v="130.62200000000001"/>
    <n v="0"/>
    <n v="0"/>
    <n v="0"/>
    <n v="0"/>
    <n v="0"/>
    <n v="21.770333333333333"/>
    <n v="130.62200000000001"/>
    <n v="1"/>
    <n v="0.96058856854128705"/>
    <n v="3.9411431458712926E-2"/>
    <n v="0"/>
    <n v="2.3620000000000001"/>
    <n v="0"/>
    <n v="963"/>
    <n v="977.17200000000003"/>
    <n v="241.96600000000001"/>
    <n v="162.86199999999999"/>
    <n v="40.327666666666673"/>
    <n v="0.32911320092599905"/>
    <m/>
    <n v="139.01599999999999"/>
    <n v="632.98"/>
    <n v="0.59299999999999997"/>
    <n v="0"/>
    <n v="772.58899999999994"/>
    <n v="-0.379"/>
    <n v="2.944"/>
    <n v="4"/>
    <n v="0"/>
    <n v="6.5649999999999995"/>
    <n v="0"/>
    <n v="0"/>
    <n v="0"/>
    <n v="0"/>
    <n v="0"/>
    <n v="811.97899999999993"/>
    <n v="135.32983333333331"/>
    <n v="130.67500000000001"/>
    <n v="0.80100000000000005"/>
    <n v="66.367999999999995"/>
    <n v="630.51099999999997"/>
    <n v="828.35500000000002"/>
    <n v="2863.5330000000004"/>
    <n v="250.86266666666666"/>
    <n v="1505.1759999999999"/>
    <n v="11.414743525009701"/>
    <n v="1.9024572541682836"/>
    <m/>
    <n v="118.711"/>
    <n v="0"/>
    <n v="79.177000000000007"/>
    <n v="79.177000000000007"/>
    <n v="0"/>
    <n v="1.05"/>
    <n v="1.05"/>
    <n v="0"/>
    <n v="37.893999999999998"/>
    <n v="37.893999999999998"/>
    <n v="0"/>
    <n v="57.712600000000002"/>
    <n v="57.712600000000002"/>
    <n v="713.64599999999996"/>
    <n v="713.64599999999996"/>
    <n v="1"/>
    <n v="294.5446"/>
    <n v="13.529632068104913"/>
    <n v="2.2549386780174854"/>
    <m/>
    <n v="1122.8996"/>
    <n v="112.28996000000001"/>
    <n v="0.13555777414272865"/>
    <n v="5.1579348042443085"/>
    <n v="0.85965580070738468"/>
    <n v="38.04971597433817"/>
    <n v="6.3416193290563605"/>
    <n v="24.944375593114614"/>
    <n v="30.102310397358924"/>
    <n v="62.994091567452784"/>
    <n v="4.1573959321857687"/>
    <n v="5.0170517328931536"/>
    <n v="10.499015261242128"/>
    <n v="4"/>
    <n v="2.4944375593114616"/>
    <n v="54.304737145396956"/>
    <n v="6.555732402822094E-2"/>
    <n v="4.2850000000000001"/>
    <m/>
  </r>
  <r>
    <s v="Cabot Oil &amp; Gas"/>
    <s v="COG"/>
    <x v="4"/>
    <n v="179"/>
    <n v="1.08"/>
    <n v="0"/>
    <n v="30.913333333333334"/>
    <n v="185.48"/>
    <n v="0"/>
    <n v="0"/>
    <n v="0"/>
    <n v="0"/>
    <n v="0"/>
    <n v="30.913333333333334"/>
    <n v="185.48"/>
    <n v="1"/>
    <n v="0.96506361871899937"/>
    <n v="3.4936381281000649E-2"/>
    <n v="0"/>
    <n v="9.548"/>
    <n v="0"/>
    <n v="1176"/>
    <n v="1233.288"/>
    <n v="256.11599999999999"/>
    <n v="205.548"/>
    <n v="42.686000000000007"/>
    <n v="0.26209920055015906"/>
    <s v="NGLs were 7.6% of proved crude &amp; NGL reserves; All reserves in US"/>
    <n v="22"/>
    <n v="629"/>
    <n v="0"/>
    <n v="0"/>
    <n v="651"/>
    <n v="-0.08"/>
    <n v="13.583"/>
    <n v="0"/>
    <n v="0"/>
    <n v="13.503"/>
    <n v="0"/>
    <n v="0"/>
    <n v="0"/>
    <n v="0"/>
    <n v="0"/>
    <n v="732.01800000000003"/>
    <n v="122.003"/>
    <n v="71.134"/>
    <n v="0"/>
    <n v="53.484000000000002"/>
    <n v="763.63499999999999"/>
    <n v="888.25299999999993"/>
    <n v="2310.0190000000002"/>
    <n v="302.6223333333333"/>
    <n v="1815.7339999999999"/>
    <n v="7.633339464921626"/>
    <n v="1.2722232441536041"/>
    <m/>
    <n v="180.73099999999999"/>
    <n v="0"/>
    <n v="104.667"/>
    <n v="104.667"/>
    <n v="0"/>
    <n v="65.352000000000004"/>
    <n v="65.352000000000004"/>
    <n v="0"/>
    <n v="27.576000000000001"/>
    <n v="27.576000000000001"/>
    <n v="0"/>
    <n v="53.671600000000005"/>
    <n v="53.671600000000005"/>
    <n v="796.51700000000005"/>
    <n v="796.51700000000005"/>
    <n v="1"/>
    <n v="431.99760000000003"/>
    <n v="13.974474875997412"/>
    <n v="2.329079145999569"/>
    <m/>
    <n v="1320.2505999999998"/>
    <n v="132.02506"/>
    <n v="0.14863452192111934"/>
    <n v="4.2708128100064693"/>
    <n v="0.71180213500107825"/>
    <n v="28.733653224067282"/>
    <n v="4.7889422040112137"/>
    <n v="21.607814340919038"/>
    <n v="25.878627150925507"/>
    <n v="50.341467564986317"/>
    <n v="3.6013023901531733"/>
    <n v="4.3131045251542517"/>
    <n v="8.3902445941643862"/>
    <n v="4"/>
    <n v="2.1607814340919038"/>
    <n v="66.796956732561057"/>
    <n v="7.5200372790816428E-2"/>
    <n v="5.3280000000000003"/>
    <m/>
  </r>
  <r>
    <s v="Cabot Oil &amp; Gas"/>
    <s v="COG"/>
    <x v="5"/>
    <n v="253"/>
    <n v="2.407"/>
    <n v="0"/>
    <n v="44.573666666666668"/>
    <n v="267.44200000000001"/>
    <n v="0"/>
    <n v="0"/>
    <n v="0"/>
    <n v="0"/>
    <n v="0"/>
    <n v="44.573666666666668"/>
    <n v="267.44200000000001"/>
    <n v="1"/>
    <n v="0.94599950643504005"/>
    <n v="5.4000493564959881E-2"/>
    <n v="0"/>
    <n v="11.545999999999999"/>
    <n v="0"/>
    <n v="1480"/>
    <n v="1549.2760000000001"/>
    <n v="315.98800000000006"/>
    <n v="258.21266666666668"/>
    <n v="52.664666666666676"/>
    <n v="0.25621590415215267"/>
    <s v="NGLs were 8.7 %of proved crude &amp; NGL reserves; All reserves in US"/>
    <n v="207"/>
    <n v="869"/>
    <n v="0"/>
    <n v="0"/>
    <n v="1076"/>
    <n v="-3.101"/>
    <n v="9.6280000000000001"/>
    <n v="0"/>
    <n v="0"/>
    <n v="6.5270000000000001"/>
    <n v="0"/>
    <n v="0"/>
    <n v="0"/>
    <n v="0"/>
    <n v="0"/>
    <n v="1115.162"/>
    <n v="185.86033333333333"/>
    <n v="88.88"/>
    <n v="0"/>
    <n v="59.198"/>
    <n v="821.80600000000004"/>
    <n v="969.88400000000001"/>
    <n v="2686.4920000000002"/>
    <n v="443.19316666666668"/>
    <n v="2659.1589999999997"/>
    <n v="6.0616728822909804"/>
    <n v="1.0102788137151635"/>
    <m/>
    <n v="261.55200000000002"/>
    <n v="0"/>
    <n v="121.239"/>
    <n v="121.239"/>
    <n v="0"/>
    <n v="22.501000000000001"/>
    <n v="22.501000000000001"/>
    <n v="0"/>
    <n v="48.874000000000002"/>
    <n v="48.874000000000002"/>
    <n v="0"/>
    <n v="51.094100000000005"/>
    <n v="51.094100000000005"/>
    <n v="1162.067"/>
    <n v="1162.067"/>
    <n v="1"/>
    <n v="505.26010000000002"/>
    <n v="11.33539459022891"/>
    <n v="1.8892324317048184"/>
    <m/>
    <n v="1475.1441"/>
    <n v="147.51441"/>
    <n v="0.15209490000866083"/>
    <n v="3.3094519933293944"/>
    <n v="0.55157533222156574"/>
    <n v="21.759125343065037"/>
    <n v="3.6265208905108395"/>
    <n v="17.39706747251989"/>
    <n v="20.706519465849283"/>
    <n v="39.15619281558493"/>
    <n v="2.8995112454199816"/>
    <n v="3.4510865776415471"/>
    <n v="6.5260321359308211"/>
    <n v="4"/>
    <n v="1.7397067472519889"/>
    <n v="77.545108649761076"/>
    <n v="7.9952972365521111E-2"/>
    <n v="10.39"/>
    <m/>
  </r>
  <r>
    <s v="Cabot Oil &amp; Gas"/>
    <s v="COG"/>
    <x v="6"/>
    <n v="394"/>
    <n v="3.2210000000000001"/>
    <n v="0"/>
    <n v="68.887666666666675"/>
    <n v="413.32600000000002"/>
    <n v="0"/>
    <n v="0"/>
    <n v="0"/>
    <n v="0"/>
    <n v="0"/>
    <n v="68.887666666666675"/>
    <n v="413.32600000000002"/>
    <n v="1"/>
    <n v="0.95324271882243072"/>
    <n v="4.6757281177569276E-2"/>
    <n v="0"/>
    <n v="12.885999999999999"/>
    <n v="0"/>
    <n v="2148"/>
    <n v="2225.3159999999998"/>
    <n v="676.03999999999974"/>
    <n v="370.88600000000002"/>
    <n v="112.67333333333335"/>
    <n v="0.43635866043235683"/>
    <s v="NGLs were 12.3% of proved crude &amp; NGL reserves; All reserves in US"/>
    <n v="435"/>
    <n v="1661"/>
    <n v="0"/>
    <n v="0"/>
    <n v="2096"/>
    <n v="-0.41899999999999998"/>
    <n v="10.683"/>
    <n v="0"/>
    <n v="0"/>
    <n v="10.263999999999999"/>
    <n v="0"/>
    <n v="0"/>
    <n v="0"/>
    <n v="0"/>
    <n v="0"/>
    <n v="2157.5839999999998"/>
    <n v="359.59733333333332"/>
    <n v="71.233999999999995"/>
    <n v="0"/>
    <n v="44.905999999999999"/>
    <n v="1069.9649999999999"/>
    <n v="1186.105"/>
    <n v="3044.2420000000002"/>
    <n v="667.46066666666661"/>
    <n v="4004.7640000000001"/>
    <n v="4.5609309312608692"/>
    <n v="0.76015515521014476"/>
    <m/>
    <n v="370.34199999999998"/>
    <n v="0"/>
    <n v="104.60599999999999"/>
    <n v="104.60599999999999"/>
    <n v="0"/>
    <n v="35.280999999999999"/>
    <n v="35.280999999999999"/>
    <n v="0"/>
    <n v="43.045000000000002"/>
    <n v="43.045000000000002"/>
    <n v="0"/>
    <n v="53.301100000000005"/>
    <n v="53.301100000000005"/>
    <n v="1696.6799999999998"/>
    <n v="1696.6799999999998"/>
    <n v="1"/>
    <n v="606.57510000000002"/>
    <n v="8.8052786420404221"/>
    <n v="1.4675464403400704"/>
    <m/>
    <n v="1792.6801"/>
    <n v="179.26801"/>
    <n v="0.15114008456249658"/>
    <n v="2.6023237347759394"/>
    <n v="0.43372062246265658"/>
    <n v="17.217958705718971"/>
    <n v="2.8696597842864953"/>
    <n v="13.36620957330129"/>
    <n v="15.96853330807723"/>
    <n v="30.584168279020261"/>
    <n v="2.2277015955502151"/>
    <n v="2.6614222180128717"/>
    <n v="5.0973613798367108"/>
    <n v="4"/>
    <n v="1.3366209573301291"/>
    <n v="92.07669896823883"/>
    <n v="7.7629467010288999E-2"/>
    <n v="0"/>
    <m/>
  </r>
  <r>
    <s v="Cabot Oil &amp; Gas"/>
    <s v="COG"/>
    <x v="7"/>
    <n v="508"/>
    <n v="3.9609999999999999"/>
    <n v="0"/>
    <n v="88.62766666666667"/>
    <n v="531.76599999999996"/>
    <n v="0"/>
    <n v="0"/>
    <n v="0"/>
    <n v="0"/>
    <n v="0"/>
    <n v="88.62766666666667"/>
    <n v="531.76599999999996"/>
    <n v="1"/>
    <n v="0.9553074096501093"/>
    <n v="4.4692590349890739E-2"/>
    <n v="0"/>
    <n v="25.914999999999999"/>
    <n v="0"/>
    <n v="2743"/>
    <n v="2898.49"/>
    <n v="673.17399999999998"/>
    <n v="483.08166666666671"/>
    <n v="112.19566666666668"/>
    <n v="0.30250714954640151"/>
    <m/>
    <n v="483"/>
    <n v="1807"/>
    <n v="7"/>
    <n v="0"/>
    <n v="2297"/>
    <n v="1.6879999999999999"/>
    <n v="17.222999999999999"/>
    <n v="11.778"/>
    <n v="0"/>
    <n v="30.689"/>
    <n v="0"/>
    <n v="0"/>
    <n v="0"/>
    <n v="0"/>
    <n v="0"/>
    <n v="2481.134"/>
    <n v="413.52233333333334"/>
    <n v="73.962000000000003"/>
    <n v="214.73699999999999"/>
    <n v="36.305999999999997"/>
    <n v="1446.7280000000001"/>
    <n v="1771.7330000000002"/>
    <n v="3927.7220000000002"/>
    <n v="958.98"/>
    <n v="5753.88"/>
    <n v="4.0957287951782106"/>
    <n v="0.68262146586303507"/>
    <s v="The net upward revision of 493.0 Bcfe was primarily due to (i) an upward performance revision of 492.1 Bcfe, primarily in the Dimock field in northeast Pennsylvania and (ii) an upward revision of 0.9 Bcfe associated with commodity pricing."/>
    <n v="494.85"/>
    <n v="0"/>
    <n v="82.59"/>
    <n v="82.59"/>
    <n v="0"/>
    <n v="77.028999999999996"/>
    <n v="77.028999999999996"/>
    <n v="0"/>
    <n v="47.012"/>
    <n v="47.012"/>
    <n v="0"/>
    <n v="63.305266666666668"/>
    <n v="63.305266666666668"/>
    <n v="1904.5140000000001"/>
    <n v="1904.5140000000001"/>
    <n v="1"/>
    <n v="764.78626666666673"/>
    <n v="8.6292045749446196"/>
    <n v="1.43820076249077"/>
    <m/>
    <n v="2536.5192666666671"/>
    <n v="253.65192666666672"/>
    <n v="0.14316599999360327"/>
    <n v="2.8619948624018843"/>
    <n v="0.47699914373364738"/>
    <n v="19.99074404907422"/>
    <n v="3.3317906748457036"/>
    <n v="12.72493337012283"/>
    <n v="15.586928232524714"/>
    <n v="32.71567741919705"/>
    <n v="2.1208222283538052"/>
    <n v="2.5978213720874526"/>
    <n v="5.4526129031995083"/>
    <n v="4"/>
    <n v="1.2724933370122831"/>
    <n v="112.77811530827896"/>
    <n v="6.3654125823856614E-2"/>
    <n v="10.557"/>
    <m/>
  </r>
  <r>
    <s v="Cabot Oil &amp; Gas"/>
    <s v="COG"/>
    <x v="8"/>
    <n v="566"/>
    <n v="6.0960000000000001"/>
    <n v="0"/>
    <n v="100.42933333333333"/>
    <n v="602.57600000000002"/>
    <n v="0"/>
    <n v="0"/>
    <n v="0"/>
    <n v="0"/>
    <n v="0"/>
    <n v="100.42933333333333"/>
    <n v="602.57600000000002"/>
    <n v="1"/>
    <n v="0.93930060274554572"/>
    <n v="6.069939725445421E-2"/>
    <n v="0"/>
    <n v="30.143999999999998"/>
    <n v="0"/>
    <n v="3180"/>
    <n v="3360.864"/>
    <n v="462.37400000000025"/>
    <n v="560.14400000000001"/>
    <n v="77.062333333333299"/>
    <n v="0.15952237199369318"/>
    <m/>
    <n v="444"/>
    <n v="896"/>
    <n v="0"/>
    <n v="0"/>
    <n v="1340"/>
    <n v="-3.008"/>
    <n v="11.510999999999999"/>
    <n v="0.187"/>
    <n v="0"/>
    <n v="8.69"/>
    <n v="0"/>
    <n v="0"/>
    <n v="0"/>
    <n v="0"/>
    <n v="0"/>
    <n v="1392.14"/>
    <n v="232.02333333333334"/>
    <n v="20.097000000000001"/>
    <n v="16.312000000000001"/>
    <n v="34.003"/>
    <n v="723.45100000000002"/>
    <n v="793.86300000000006"/>
    <n v="3751.701"/>
    <n v="1005.143"/>
    <n v="6030.8580000000002"/>
    <n v="3.7325047281829549"/>
    <n v="0.62208412136382585"/>
    <m/>
    <n v="568.40200000000004"/>
    <n v="0"/>
    <n v="69.444000000000003"/>
    <n v="69.444000000000003"/>
    <n v="0"/>
    <n v="7.55"/>
    <n v="7.55"/>
    <n v="0"/>
    <n v="42.808999999999997"/>
    <n v="42.808999999999997"/>
    <n v="0"/>
    <n v="85.296600000000012"/>
    <n v="85.296600000000012"/>
    <n v="1273.2550000000001"/>
    <n v="1273.2550000000001"/>
    <n v="1"/>
    <n v="773.50160000000005"/>
    <n v="7.7019489657736129"/>
    <n v="1.2836581609622686"/>
    <m/>
    <n v="1567.3646000000001"/>
    <n v="156.73646000000002"/>
    <n v="0.19743514938975618"/>
    <n v="1.560664148588726"/>
    <n v="0.26011069143145432"/>
    <n v="7.9046925201136462"/>
    <n v="1.3174487533522743"/>
    <n v="11.434453693956568"/>
    <n v="12.995117842545294"/>
    <n v="19.339146214070215"/>
    <n v="1.9057422823260945"/>
    <n v="2.1658529737575489"/>
    <n v="3.2231910356783686"/>
    <n v="4"/>
    <n v="1.1434453693956568"/>
    <n v="114.83545615149288"/>
    <n v="0.14465399716511901"/>
    <n v="0"/>
    <m/>
  </r>
  <r>
    <s v="Cabot Oil &amp; Gas"/>
    <s v="COG"/>
    <x v="9"/>
    <n v="600"/>
    <n v="4.4539999999999997"/>
    <n v="0.627"/>
    <n v="105.08099999999999"/>
    <n v="630.48599999999999"/>
    <n v="0"/>
    <n v="0"/>
    <n v="0"/>
    <n v="0"/>
    <n v="0"/>
    <n v="105.08099999999999"/>
    <n v="630.48599999999999"/>
    <n v="1"/>
    <n v="0.951646824830369"/>
    <n v="4.2386349577944633E-2"/>
    <n v="5.9668255916864137E-3"/>
    <n v="28.73"/>
    <n v="0"/>
    <n v="2781"/>
    <n v="2953.38"/>
    <n v="-407.48399999999992"/>
    <n v="492.23"/>
    <n v="-67.913999999999987"/>
    <n v="-0.12124382301693848"/>
    <m/>
    <n v="405"/>
    <n v="650"/>
    <n v="0"/>
    <n v="0"/>
    <n v="1055"/>
    <n v="-5.867"/>
    <n v="5.54"/>
    <n v="0"/>
    <n v="0"/>
    <n v="-0.32699999999999996"/>
    <n v="0"/>
    <n v="0"/>
    <n v="0"/>
    <n v="0"/>
    <n v="0"/>
    <n v="1053.038"/>
    <n v="175.50633333333334"/>
    <n v="2.7029999999999998"/>
    <n v="0"/>
    <n v="27.64"/>
    <n v="359.50099999999998"/>
    <n v="389.84399999999999"/>
    <n v="2955.4400000000005"/>
    <n v="821.05200000000002"/>
    <n v="4926.3119999999999"/>
    <n v="3.5995771278798423"/>
    <n v="0.59992952131330712"/>
    <m/>
    <n v="537.23799999999994"/>
    <n v="0"/>
    <n v="87.242000000000004"/>
    <n v="87.242000000000004"/>
    <n v="0"/>
    <n v="0.68799999999999994"/>
    <n v="0.68799999999999994"/>
    <m/>
    <n v="29.222999999999999"/>
    <n v="29.222999999999999"/>
    <m/>
    <n v="55.5861011"/>
    <n v="55.5861011"/>
    <n v="1173.6959999999999"/>
    <n v="1173.6959999999999"/>
    <n v="1"/>
    <n v="709.97710109999991"/>
    <n v="6.7564745396408483"/>
    <n v="1.1260790899401414"/>
    <m/>
    <n v="1099.8211010999999"/>
    <n v="109.98211010999999"/>
    <n v="0.28211825784159816"/>
    <n v="1.0466412587432552"/>
    <n v="0.17444020979054253"/>
    <n v="3.7099380477917037"/>
    <n v="0.61832300796528394"/>
    <n v="10.35605166752069"/>
    <n v="11.402692926263946"/>
    <n v="14.065989715312394"/>
    <n v="1.7260086112534485"/>
    <n v="1.9004488210439909"/>
    <n v="2.3443316192187327"/>
    <n v="4"/>
    <n v="1.0356051667520689"/>
    <n v="108.82242652747415"/>
    <n v="0.27914352029907902"/>
    <n v="0"/>
    <m/>
  </r>
  <r>
    <s v="Chesapeake Energy"/>
    <s v="CHK"/>
    <x v="0"/>
    <n v="655"/>
    <n v="9.9"/>
    <n v="0"/>
    <n v="119.06666666666668"/>
    <n v="714.4"/>
    <n v="0"/>
    <n v="0"/>
    <n v="0"/>
    <n v="0"/>
    <n v="0"/>
    <n v="119.06666666666668"/>
    <n v="714.4"/>
    <n v="1"/>
    <n v="0.91685330347144456"/>
    <n v="8.3146696528555428E-2"/>
    <n v="0"/>
    <n v="34.72"/>
    <n v="0"/>
    <n v="3728.6770000000001"/>
    <n v="3936.9970000000003"/>
    <m/>
    <n v="656.16616666666675"/>
    <m/>
    <m/>
    <m/>
    <n v="1299"/>
    <n v="1053"/>
    <n v="329"/>
    <n v="0"/>
    <n v="2681"/>
    <n v="7.7"/>
    <n v="11.7"/>
    <n v="8.1"/>
    <n v="0"/>
    <n v="27.5"/>
    <n v="0"/>
    <n v="0"/>
    <n v="0"/>
    <n v="0"/>
    <n v="0"/>
    <n v="2846"/>
    <n v="474.33333333333331"/>
    <n v="2638"/>
    <n v="671"/>
    <n v="996"/>
    <n v="4402"/>
    <n v="8707"/>
    <m/>
    <m/>
    <m/>
    <m/>
    <m/>
    <s v="Costs &amp; Adds include oil; Sales excluded; Costs exclude asset retirement obligations"/>
    <m/>
    <m/>
    <m/>
    <m/>
    <m/>
    <m/>
    <m/>
    <m/>
    <m/>
    <m/>
    <m/>
    <m/>
    <m/>
    <n v="0"/>
    <n v="0"/>
    <m/>
    <m/>
    <m/>
    <m/>
    <m/>
    <m/>
    <m/>
    <m/>
    <m/>
    <m/>
    <m/>
    <m/>
    <m/>
    <m/>
    <m/>
    <m/>
    <m/>
    <m/>
    <n v="4"/>
    <m/>
    <m/>
    <m/>
    <m/>
    <m/>
  </r>
  <r>
    <s v="Chesapeake Energy"/>
    <s v="CHK"/>
    <x v="1"/>
    <n v="775"/>
    <n v="11.2"/>
    <n v="0"/>
    <n v="140.36666666666665"/>
    <n v="842.2"/>
    <n v="0"/>
    <n v="0"/>
    <n v="0"/>
    <n v="0"/>
    <n v="0"/>
    <n v="140.36666666666665"/>
    <n v="842.2"/>
    <n v="1"/>
    <n v="0.92020897649014477"/>
    <n v="7.9791023509855147E-2"/>
    <n v="0"/>
    <n v="35.719000000000001"/>
    <n v="0"/>
    <n v="3745.9319999999998"/>
    <n v="3960.2459999999996"/>
    <n v="23.248999999999342"/>
    <n v="660.04100000000005"/>
    <n v="3.8748333333332994"/>
    <n v="5.9052623103344488E-3"/>
    <m/>
    <n v="957"/>
    <n v="1526"/>
    <n v="156"/>
    <n v="0"/>
    <n v="2639"/>
    <n v="-1.2"/>
    <n v="11.5"/>
    <n v="2.5"/>
    <n v="0"/>
    <n v="12.8"/>
    <n v="0"/>
    <n v="0"/>
    <n v="0"/>
    <n v="0"/>
    <n v="0"/>
    <n v="2715.8"/>
    <n v="452.63333333333333"/>
    <n v="8263"/>
    <n v="355"/>
    <n v="926"/>
    <n v="5185"/>
    <n v="14729"/>
    <m/>
    <m/>
    <m/>
    <m/>
    <m/>
    <s v="Costs &amp; Adds include oil; Sales excluded; Costs exclude asset retirement obligations"/>
    <m/>
    <m/>
    <m/>
    <m/>
    <m/>
    <m/>
    <m/>
    <m/>
    <m/>
    <m/>
    <m/>
    <m/>
    <m/>
    <n v="0"/>
    <n v="0"/>
    <m/>
    <m/>
    <m/>
    <m/>
    <m/>
    <m/>
    <m/>
    <m/>
    <m/>
    <m/>
    <m/>
    <m/>
    <m/>
    <m/>
    <m/>
    <m/>
    <m/>
    <m/>
    <n v="4"/>
    <m/>
    <m/>
    <m/>
    <m/>
    <m/>
  </r>
  <r>
    <s v="Chesapeake Energy"/>
    <s v="CHK"/>
    <x v="2"/>
    <n v="835"/>
    <n v="11.8"/>
    <n v="0"/>
    <n v="150.96666666666667"/>
    <n v="905.8"/>
    <n v="0"/>
    <n v="0"/>
    <n v="0"/>
    <n v="0"/>
    <n v="0"/>
    <n v="150.96666666666667"/>
    <n v="905.8"/>
    <n v="1"/>
    <n v="0.92183705012143968"/>
    <n v="7.8162949878560387E-2"/>
    <n v="0"/>
    <n v="45.2"/>
    <n v="0"/>
    <n v="5651"/>
    <n v="5922.2"/>
    <n v="1961.9540000000002"/>
    <n v="987.03333333333342"/>
    <n v="326.99233333333336"/>
    <n v="0.49541215368944252"/>
    <m/>
    <n v="-1335"/>
    <n v="4530"/>
    <n v="32"/>
    <n v="0"/>
    <n v="3227"/>
    <n v="-10.3"/>
    <n v="27.1"/>
    <n v="0.2"/>
    <n v="0"/>
    <n v="17"/>
    <n v="0"/>
    <n v="0"/>
    <n v="0"/>
    <n v="0"/>
    <n v="0"/>
    <n v="3329"/>
    <n v="554.83333333333337"/>
    <n v="2793"/>
    <n v="61"/>
    <n v="813"/>
    <n v="2729"/>
    <n v="6396"/>
    <n v="29832"/>
    <n v="1481.8000000000002"/>
    <n v="8890.7999999999993"/>
    <n v="20.13227156161425"/>
    <n v="3.3553785936023757"/>
    <s v="Costs &amp; Adds include oil; Sales excluded; Costs exclude asset retirement obligations"/>
    <n v="1058"/>
    <n v="349"/>
    <n v="0"/>
    <n v="228.78486107504543"/>
    <n v="7"/>
    <n v="0"/>
    <n v="4.5888081017917424"/>
    <n v="0"/>
    <n v="107"/>
    <n v="107"/>
    <n v="825"/>
    <n v="0"/>
    <n v="540.82381199688393"/>
    <n v="5049"/>
    <n v="7702"/>
    <n v="0.65554401454167743"/>
    <n v="1939.1974811737211"/>
    <n v="12.845203010645095"/>
    <n v="2.1408671684408493"/>
    <s v="Net Operating loss"/>
    <n v="8335.1974811737218"/>
    <n v="833.51974811737227"/>
    <n v="0.13031890996206572"/>
    <n v="5.5212171436346145"/>
    <n v="0.92020285727243578"/>
    <n v="42.366968425701039"/>
    <n v="7.0611614042835065"/>
    <n v="32.977474572259347"/>
    <n v="38.498691715893962"/>
    <n v="75.344442997960385"/>
    <n v="5.496245762043225"/>
    <n v="6.4164486193156609"/>
    <n v="12.557407166326731"/>
    <n v="4"/>
    <n v="3.2977474572259347"/>
    <n v="497.84994112587526"/>
    <n v="7.7837701864583372E-2"/>
    <m/>
    <n v="10005"/>
  </r>
  <r>
    <s v="Chesapeake Energy"/>
    <s v="CHK"/>
    <x v="3"/>
    <n v="925"/>
    <n v="10.9"/>
    <n v="7.5"/>
    <n v="172.56666666666666"/>
    <n v="1035.4000000000001"/>
    <n v="0"/>
    <n v="0"/>
    <n v="0"/>
    <n v="0"/>
    <n v="0"/>
    <n v="172.56666666666666"/>
    <n v="1035.4000000000001"/>
    <n v="1"/>
    <n v="0.89337454124010041"/>
    <n v="6.3163994591462241E-2"/>
    <n v="4.3461464168437318E-2"/>
    <n v="65.900000000000006"/>
    <n v="59.3"/>
    <n v="7209"/>
    <n v="7960.2"/>
    <n v="2038"/>
    <n v="1326.7"/>
    <n v="339.66666666666663"/>
    <n v="0.3441288710276586"/>
    <m/>
    <n v="-445"/>
    <n v="4678"/>
    <n v="63"/>
    <n v="0"/>
    <n v="4296"/>
    <n v="-3.6"/>
    <n v="47.6"/>
    <n v="4.2"/>
    <n v="0"/>
    <n v="48.2"/>
    <n v="108.3"/>
    <n v="22.3"/>
    <n v="0.2"/>
    <n v="0"/>
    <n v="130.79999999999998"/>
    <n v="5370"/>
    <n v="895"/>
    <n v="6953"/>
    <n v="243"/>
    <n v="872"/>
    <n v="4741"/>
    <n v="12809"/>
    <n v="33934"/>
    <n v="1902.4666666666667"/>
    <n v="11414.8"/>
    <n v="17.836843396292533"/>
    <n v="2.9728072327154225"/>
    <s v="Costs &amp; Adds include oil; Sales excluded; Costs exclude asset retirement obligations"/>
    <n v="1101"/>
    <n v="453"/>
    <n v="0"/>
    <n v="273.12524023062139"/>
    <n v="-291"/>
    <n v="0"/>
    <n v="-175.45131326073027"/>
    <n v="0"/>
    <n v="157"/>
    <n v="157"/>
    <n v="779"/>
    <n v="0"/>
    <n v="469.67894512064913"/>
    <n v="5647"/>
    <n v="9366"/>
    <n v="0.60292547512278449"/>
    <n v="1825.3528720905401"/>
    <n v="10.577667792682288"/>
    <n v="1.7629446321137145"/>
    <s v="Net Operating loss"/>
    <n v="14634.35287209054"/>
    <n v="1463.435287209054"/>
    <n v="0.11425054939566351"/>
    <n v="8.480405373048411"/>
    <n v="1.4134008955080681"/>
    <n v="74.226385937801822"/>
    <n v="12.371064322966967"/>
    <n v="28.414511188974821"/>
    <n v="36.894916562023234"/>
    <n v="102.64089712677665"/>
    <n v="4.7357518648291368"/>
    <n v="6.1491527603372047"/>
    <n v="17.106816187796106"/>
    <n v="4"/>
    <n v="2.8414511188974823"/>
    <n v="490.33974808440882"/>
    <n v="3.8280876577750707E-2"/>
    <m/>
    <n v="14469"/>
  </r>
  <r>
    <s v="Chesapeake Energy"/>
    <s v="CHK"/>
    <x v="4"/>
    <n v="1004"/>
    <n v="17"/>
    <n v="14.7"/>
    <n v="199.03333333333333"/>
    <n v="1194.2"/>
    <n v="0"/>
    <n v="0"/>
    <n v="0"/>
    <n v="0"/>
    <n v="0"/>
    <n v="199.03333333333333"/>
    <n v="1194.2"/>
    <n v="1"/>
    <n v="0.84073019594707754"/>
    <n v="8.5412828671914257E-2"/>
    <n v="7.3856975381008202E-2"/>
    <n v="167.6"/>
    <n v="123.3"/>
    <n v="6937"/>
    <n v="8682.4"/>
    <n v="722.19999999999982"/>
    <n v="1447.0666666666666"/>
    <n v="120.36666666666656"/>
    <n v="9.0726363659204459E-2"/>
    <m/>
    <n v="-361"/>
    <n v="4156"/>
    <n v="23"/>
    <n v="0"/>
    <n v="3818"/>
    <n v="-7.8"/>
    <n v="168.4"/>
    <n v="0.5"/>
    <n v="0"/>
    <n v="161.1"/>
    <n v="60.6"/>
    <n v="85.2"/>
    <n v="0.7"/>
    <n v="0"/>
    <n v="146.5"/>
    <n v="5663.6"/>
    <n v="943.93333333333339"/>
    <n v="4736"/>
    <n v="48"/>
    <n v="2261"/>
    <n v="4767"/>
    <n v="11812"/>
    <n v="31017"/>
    <n v="2393.7666666666669"/>
    <n v="14362.6"/>
    <n v="12.95740325567794"/>
    <n v="2.1595672092796567"/>
    <s v="Costs &amp; Adds include oil; Sales excluded; Costs exclude asset retirement obligations"/>
    <n v="1475"/>
    <n v="548"/>
    <n v="0"/>
    <n v="283.72599914052427"/>
    <n v="-25"/>
    <n v="0"/>
    <n v="-12.943704340352385"/>
    <n v="0"/>
    <n v="192"/>
    <n v="192"/>
    <n v="723"/>
    <n v="0"/>
    <n v="374.331929522991"/>
    <n v="6024"/>
    <n v="11635"/>
    <n v="0.51774817361409542"/>
    <n v="2312.1142243231629"/>
    <n v="11.616718594824132"/>
    <n v="1.9361197658040219"/>
    <s v="Net Operating losses carryforwards of 3.1 billion at 12/31/11 will expire 2019-2031"/>
    <n v="14124.114224323162"/>
    <n v="1412.4114224323164"/>
    <n v="0.11957428229193331"/>
    <n v="7.0963561669685973"/>
    <n v="1.1827260278280993"/>
    <n v="59.34684307486183"/>
    <n v="9.8911405124769711"/>
    <n v="24.574121850502074"/>
    <n v="31.670478017470671"/>
    <n v="83.920964925363904"/>
    <n v="4.0956869750836784"/>
    <n v="5.278413002911778"/>
    <n v="13.98682748756065"/>
    <n v="4"/>
    <n v="2.4574121850502073"/>
    <n v="489.10693856449291"/>
    <n v="4.1407631100956056E-2"/>
    <m/>
    <n v="16685"/>
  </r>
  <r>
    <s v="Chesapeake Energy"/>
    <s v="CHK"/>
    <x v="5"/>
    <n v="1129"/>
    <n v="31.3"/>
    <n v="17.600000000000001"/>
    <n v="237.06666666666666"/>
    <n v="1422.3999999999999"/>
    <n v="0"/>
    <n v="0"/>
    <n v="0"/>
    <n v="0"/>
    <n v="0"/>
    <n v="237.06666666666666"/>
    <n v="1422.3999999999999"/>
    <n v="1"/>
    <n v="0.79372890888638925"/>
    <n v="0.13203037120359956"/>
    <n v="7.4240719910011257E-2"/>
    <n v="332.6"/>
    <n v="165.2"/>
    <n v="3759"/>
    <n v="6745.8"/>
    <n v="-1936.5999999999995"/>
    <n v="1124.3"/>
    <n v="-322.76666666666665"/>
    <n v="-0.22304892656408365"/>
    <m/>
    <n v="-6080"/>
    <n v="3317"/>
    <n v="14"/>
    <n v="0"/>
    <n v="-2749"/>
    <n v="-67.5"/>
    <n v="374"/>
    <n v="4.2"/>
    <n v="0"/>
    <n v="310.7"/>
    <n v="-47.3"/>
    <n v="139.4"/>
    <n v="0.6"/>
    <n v="0"/>
    <n v="92.7"/>
    <n v="-328.60000000000014"/>
    <n v="-54.766666666666694"/>
    <n v="2981"/>
    <n v="332"/>
    <n v="2353"/>
    <n v="5725"/>
    <n v="11391"/>
    <n v="36012"/>
    <n v="1784.1666666666667"/>
    <n v="10705"/>
    <n v="20.18421298458664"/>
    <n v="3.3640354974311069"/>
    <s v="Costs &amp; Adds include oil; Sales excluded; Costs exclude asset retirement obligations"/>
    <n v="1769"/>
    <n v="535"/>
    <n v="0"/>
    <n v="272.71273140630075"/>
    <n v="44"/>
    <n v="0"/>
    <n v="22.428710620331277"/>
    <n v="0"/>
    <n v="188"/>
    <n v="188"/>
    <n v="802"/>
    <n v="0"/>
    <n v="408.81422539785643"/>
    <n v="6278"/>
    <n v="12316"/>
    <n v="0.50974342318934718"/>
    <n v="2660.9556674244886"/>
    <n v="11.224503658989688"/>
    <n v="1.8707506098316149"/>
    <m/>
    <n v="14051.955667424489"/>
    <n v="1405.195566742449"/>
    <n v="0.12336015861139926"/>
    <n v="5.9274278687111179"/>
    <n v="0.98790464478518647"/>
    <n v="48.049775028121488"/>
    <n v="8.0082958380202474"/>
    <n v="31.408716643576327"/>
    <n v="37.336144512287447"/>
    <n v="79.458491671697814"/>
    <n v="5.234786107262722"/>
    <n v="6.2226907520479084"/>
    <n v="13.24308194528297"/>
    <n v="4"/>
    <n v="3.1408716643576327"/>
    <n v="744.59597589704947"/>
    <n v="6.5367042041703932E-2"/>
    <m/>
    <n v="14755"/>
  </r>
  <r>
    <s v="Chesapeake Energy"/>
    <s v="CHK"/>
    <x v="6"/>
    <n v="1095"/>
    <n v="41.1"/>
    <n v="20.9"/>
    <n v="244.5"/>
    <n v="1467"/>
    <n v="0"/>
    <n v="0"/>
    <n v="0"/>
    <n v="0"/>
    <n v="0"/>
    <n v="244.5"/>
    <n v="1467"/>
    <n v="1"/>
    <n v="0.74642126789366048"/>
    <n v="0.16809815950920245"/>
    <n v="8.5480572597137011E-2"/>
    <n v="222.5"/>
    <n v="121.9"/>
    <n v="3150"/>
    <n v="5216.3999999999996"/>
    <n v="-1529.4000000000005"/>
    <n v="869.4"/>
    <n v="-254.89999999999998"/>
    <n v="-0.22671884728275371"/>
    <m/>
    <n v="388"/>
    <n v="2160"/>
    <n v="5"/>
    <n v="0"/>
    <n v="2553"/>
    <n v="-61.1"/>
    <n v="96.3"/>
    <n v="0.6"/>
    <n v="0"/>
    <n v="35.799999999999997"/>
    <n v="-32.9"/>
    <n v="524"/>
    <n v="2"/>
    <n v="0"/>
    <n v="493.1"/>
    <n v="5726.4000000000005"/>
    <n v="954.40000000000009"/>
    <n v="997"/>
    <n v="22"/>
    <n v="699"/>
    <n v="4066"/>
    <n v="5784"/>
    <n v="28987"/>
    <n v="1843.5666666666668"/>
    <n v="11061.400000000001"/>
    <n v="15.72332616124541"/>
    <n v="2.6205543602075685"/>
    <s v="Costs &amp; Adds include oil; Sales excluded; Costs exclude asset retirement obligations"/>
    <n v="2733"/>
    <n v="457"/>
    <n v="0"/>
    <n v="206.608071278826"/>
    <n v="26"/>
    <n v="0"/>
    <n v="11.754507337526205"/>
    <n v="0"/>
    <n v="229"/>
    <n v="229"/>
    <n v="894"/>
    <n v="0"/>
    <n v="404.17421383647797"/>
    <n v="8626"/>
    <n v="19080"/>
    <n v="0.4520964360587002"/>
    <n v="3584.53679245283"/>
    <n v="14.660682177721187"/>
    <n v="2.4434470296201978"/>
    <m/>
    <n v="9368.5367924528291"/>
    <n v="936.85367924528293"/>
    <n v="0.1619733193715911"/>
    <n v="3.8317123895512593"/>
    <n v="0.63861873159187654"/>
    <n v="23.656441717791409"/>
    <n v="3.9427402862985685"/>
    <n v="30.384008338966595"/>
    <n v="34.215720728517852"/>
    <n v="54.040450056758004"/>
    <n v="5.0640013898277658"/>
    <n v="5.7026201214196419"/>
    <n v="9.0067416761263352"/>
    <n v="4"/>
    <n v="3.0384008338966595"/>
    <n v="742.88900388773322"/>
    <n v="0.12843862446191792"/>
    <m/>
    <n v="12013"/>
  </r>
  <r>
    <s v="Chesapeake Energy"/>
    <s v="CHK"/>
    <x v="7"/>
    <n v="1095"/>
    <n v="42.3"/>
    <n v="33.1"/>
    <n v="257.90000000000003"/>
    <n v="1547.4"/>
    <n v="0"/>
    <n v="0"/>
    <n v="0"/>
    <n v="0"/>
    <n v="0"/>
    <n v="257.90000000000003"/>
    <n v="1547.4"/>
    <n v="1"/>
    <n v="0.70763861962000774"/>
    <n v="0.1640170608763086"/>
    <n v="0.12834431950368358"/>
    <n v="191.5"/>
    <n v="67.8"/>
    <n v="2077"/>
    <n v="3632.8"/>
    <n v="-1583.5999999999995"/>
    <n v="605.4666666666667"/>
    <n v="-263.93333333333328"/>
    <n v="-0.30358101372594121"/>
    <m/>
    <n v="-129"/>
    <n v="1567"/>
    <n v="36"/>
    <n v="0"/>
    <n v="1474"/>
    <n v="-51.1"/>
    <n v="108.6"/>
    <n v="5.0999999999999996"/>
    <n v="0"/>
    <n v="62.599999999999994"/>
    <n v="21.3"/>
    <n v="78.2"/>
    <n v="2.6"/>
    <n v="0"/>
    <n v="102.1"/>
    <n v="2462.1999999999998"/>
    <n v="410.36666666666667"/>
    <n v="1224"/>
    <n v="214"/>
    <n v="421"/>
    <n v="3561"/>
    <n v="5420"/>
    <n v="22595"/>
    <n v="1310"/>
    <n v="7860"/>
    <n v="17.248091603053435"/>
    <n v="2.8746819338422394"/>
    <m/>
    <n v="3382"/>
    <n v="322"/>
    <n v="0"/>
    <n v="144.17245405405404"/>
    <n v="10"/>
    <n v="0"/>
    <n v="4.4774054054054053"/>
    <n v="0"/>
    <n v="232"/>
    <n v="232"/>
    <n v="768"/>
    <n v="0"/>
    <n v="343.86473513513511"/>
    <n v="10354"/>
    <n v="23125"/>
    <n v="0.44774054054054052"/>
    <n v="4106.5145945945942"/>
    <n v="15.922894899552515"/>
    <n v="2.6538158165920862"/>
    <m/>
    <n v="9526.5145945945951"/>
    <n v="952.6514594594596"/>
    <n v="0.17576595192978958"/>
    <n v="3.6938792534294667"/>
    <n v="0.61564654223824455"/>
    <n v="21.015897634742146"/>
    <n v="3.5026496057903578"/>
    <n v="33.170986502605949"/>
    <n v="36.864865756035414"/>
    <n v="54.186884137348095"/>
    <n v="5.528497750434326"/>
    <n v="6.1441442926725705"/>
    <n v="9.0311473562246842"/>
    <n v="4"/>
    <n v="3.3170986502605948"/>
    <n v="855.47974190220748"/>
    <n v="0.15783759075686485"/>
    <m/>
    <n v="9788"/>
  </r>
  <r>
    <s v="Chesapeake Energy"/>
    <s v="CHK"/>
    <x v="8"/>
    <n v="1070"/>
    <n v="41.6"/>
    <n v="28"/>
    <n v="247.93333333333334"/>
    <n v="1487.6"/>
    <n v="0"/>
    <n v="0"/>
    <n v="0"/>
    <n v="0"/>
    <n v="0"/>
    <n v="247.93333333333334"/>
    <n v="1487.6"/>
    <n v="1"/>
    <n v="0.71927937617639159"/>
    <n v="0.1677870395267545"/>
    <n v="0.11293358429685399"/>
    <n v="98.1"/>
    <n v="25.5"/>
    <n v="712"/>
    <n v="1453.6"/>
    <n v="-2179.2000000000003"/>
    <n v="242.26666666666665"/>
    <n v="-363.20000000000005"/>
    <n v="-0.59986787051310286"/>
    <m/>
    <n v="-4191"/>
    <n v="805"/>
    <n v="0"/>
    <n v="0"/>
    <n v="-3386"/>
    <n v="-110"/>
    <n v="61.1"/>
    <n v="0"/>
    <n v="0"/>
    <n v="-48.9"/>
    <n v="-75.8"/>
    <n v="35.299999999999997"/>
    <n v="0"/>
    <n v="0"/>
    <n v="-40.5"/>
    <n v="-3922.4"/>
    <n v="-653.73333333333335"/>
    <n v="454"/>
    <n v="0"/>
    <n v="112"/>
    <n v="2546"/>
    <n v="3112"/>
    <n v="14316"/>
    <n v="711.03333333333353"/>
    <n v="4266.2000000000007"/>
    <n v="20.134077164689881"/>
    <n v="3.3556795274483142"/>
    <m/>
    <n v="3165"/>
    <n v="235"/>
    <n v="0"/>
    <n v="99.254544030084617"/>
    <n v="44"/>
    <n v="0"/>
    <n v="18.583829520526482"/>
    <n v="0"/>
    <n v="99"/>
    <n v="99"/>
    <n v="694"/>
    <n v="0"/>
    <n v="293.11767471012223"/>
    <n v="5391"/>
    <n v="12764"/>
    <n v="0.42235976183014728"/>
    <n v="3674.9560482607335"/>
    <n v="14.822355666553106"/>
    <n v="2.4703926110921843"/>
    <m/>
    <n v="6786.956048260734"/>
    <n v="678.69560482607346"/>
    <n v="0.21808984730914957"/>
    <n v="2.7374116892689169"/>
    <n v="0.45623528154481952"/>
    <n v="12.551761226136058"/>
    <n v="2.0919602043560097"/>
    <n v="34.956432831242985"/>
    <n v="37.693844520511902"/>
    <n v="47.508194057379043"/>
    <n v="5.8260721385404981"/>
    <n v="6.282307420085318"/>
    <n v="7.9180323428965078"/>
    <n v="4"/>
    <n v="3.4956432831242985"/>
    <n v="866.68649132928442"/>
    <n v="0.27849822986159523"/>
    <m/>
    <n v="6798"/>
  </r>
  <r>
    <s v="Chesapeake Energy"/>
    <s v="CHK"/>
    <x v="9"/>
    <n v="1050"/>
    <n v="33.200000000000003"/>
    <n v="28.1"/>
    <n v="236.29999999999998"/>
    <n v="1417.8000000000002"/>
    <n v="0"/>
    <n v="0"/>
    <n v="0"/>
    <n v="0"/>
    <n v="0"/>
    <n v="236.29999999999998"/>
    <n v="1417.8000000000002"/>
    <n v="1"/>
    <n v="0.74058400338552677"/>
    <n v="0.1404993652137114"/>
    <n v="0.11891663140076175"/>
    <n v="198.7"/>
    <n v="92.2"/>
    <n v="1370"/>
    <n v="3115.3999999999996"/>
    <n v="1661.7999999999997"/>
    <n v="519.23333333333335"/>
    <n v="276.9666666666667"/>
    <n v="1.1432305998899286"/>
    <m/>
    <n v="598"/>
    <n v="1798"/>
    <n v="299"/>
    <n v="0"/>
    <n v="2695"/>
    <n v="-58.9"/>
    <n v="191.2"/>
    <n v="1"/>
    <n v="0"/>
    <n v="133.29999999999998"/>
    <n v="2.8"/>
    <n v="89"/>
    <n v="3.6"/>
    <n v="0"/>
    <n v="95.399999999999991"/>
    <n v="4067.2000000000003"/>
    <n v="677.86666666666667"/>
    <n v="403"/>
    <n v="403"/>
    <n v="52"/>
    <n v="1127"/>
    <n v="1985"/>
    <n v="10517"/>
    <n v="434.5"/>
    <n v="2607"/>
    <n v="24.204833141542004"/>
    <n v="4.0341388569236667"/>
    <m/>
    <n v="2565"/>
    <n v="240"/>
    <n v="0"/>
    <n v="100.24390243902438"/>
    <n v="-27"/>
    <n v="0"/>
    <n v="-11.277439024390244"/>
    <n v="0"/>
    <n v="74"/>
    <n v="74"/>
    <n v="669"/>
    <n v="0"/>
    <n v="279.42987804878049"/>
    <n v="3288"/>
    <n v="7872"/>
    <n v="0.41768292682926828"/>
    <n v="3007.3963414634145"/>
    <n v="12.727026413302644"/>
    <n v="2.1211710688837737"/>
    <m/>
    <n v="4992.3963414634145"/>
    <n v="499.23963414634147"/>
    <n v="0.25150611292007125"/>
    <n v="2.1127364965989908"/>
    <n v="0.35212274943316507"/>
    <n v="8.4003385526872627"/>
    <n v="1.4000564254478769"/>
    <n v="36.93185955484465"/>
    <n v="39.044596051443641"/>
    <n v="45.332198107531909"/>
    <n v="6.1553099258074404"/>
    <n v="6.5074326752406053"/>
    <n v="7.5553663512553175"/>
    <n v="4"/>
    <n v="3.693185955484465"/>
    <n v="872.69984128097906"/>
    <n v="0.43964727520452346"/>
    <m/>
    <n v="4802"/>
  </r>
  <r>
    <s v="Concho"/>
    <s v="CXO"/>
    <x v="0"/>
    <n v="12.064"/>
    <n v="3.0139999999999998"/>
    <n v="0"/>
    <n v="5.0246666666666666"/>
    <n v="30.148"/>
    <n v="0"/>
    <n v="0"/>
    <n v="0"/>
    <n v="0"/>
    <n v="0"/>
    <n v="5.0246666666666666"/>
    <n v="30.148"/>
    <n v="1"/>
    <n v="0.40015921454159481"/>
    <n v="0.59984078545840513"/>
    <n v="0"/>
    <n v="25.744"/>
    <n v="0"/>
    <n v="96.965000000000003"/>
    <n v="251.429"/>
    <m/>
    <n v="41.904833333333329"/>
    <m/>
    <m/>
    <m/>
    <n v="-12.022"/>
    <n v="48.750999999999998"/>
    <n v="0.35399999999999998"/>
    <n v="0"/>
    <n v="37.082999999999998"/>
    <n v="-1.1910000000000001"/>
    <n v="13.14"/>
    <n v="0.105"/>
    <n v="0"/>
    <n v="12.054"/>
    <n v="0"/>
    <n v="0"/>
    <n v="0"/>
    <n v="0"/>
    <n v="0"/>
    <n v="109.407"/>
    <n v="18.234500000000001"/>
    <n v="7.2930000000000001"/>
    <n v="0"/>
    <n v="116.01900000000001"/>
    <n v="64.209000000000003"/>
    <n v="187.52100000000002"/>
    <m/>
    <m/>
    <m/>
    <m/>
    <m/>
    <m/>
    <m/>
    <m/>
    <m/>
    <m/>
    <m/>
    <m/>
    <m/>
    <m/>
    <m/>
    <m/>
    <m/>
    <m/>
    <m/>
    <n v="0"/>
    <n v="0"/>
    <m/>
    <m/>
    <m/>
    <m/>
    <m/>
    <m/>
    <m/>
    <m/>
    <m/>
    <m/>
    <m/>
    <m/>
    <m/>
    <m/>
    <m/>
    <m/>
    <m/>
    <m/>
    <m/>
    <m/>
    <m/>
    <m/>
    <m/>
    <m/>
  </r>
  <r>
    <s v="Concho"/>
    <s v="CXO"/>
    <x v="1"/>
    <n v="14.968"/>
    <n v="4.5860000000000003"/>
    <n v="0"/>
    <n v="7.0806666666666676"/>
    <n v="42.484000000000002"/>
    <n v="0"/>
    <n v="0"/>
    <n v="0"/>
    <n v="0"/>
    <n v="0"/>
    <n v="7.0806666666666676"/>
    <n v="42.484000000000002"/>
    <n v="1"/>
    <n v="0.35232087374070237"/>
    <n v="0.64767912625929758"/>
    <n v="0"/>
    <n v="39.624000000000002"/>
    <n v="0"/>
    <n v="126.824"/>
    <n v="364.56800000000004"/>
    <n v="113.13900000000004"/>
    <n v="60.76133333333334"/>
    <n v="18.856500000000011"/>
    <n v="0.44998389207291156"/>
    <m/>
    <n v="-34.323"/>
    <n v="73.38"/>
    <n v="56.021999999999998"/>
    <n v="0"/>
    <n v="95.078999999999994"/>
    <n v="-7.5209999999999999"/>
    <n v="24.193999999999999"/>
    <n v="20.837"/>
    <n v="0"/>
    <n v="37.51"/>
    <n v="0"/>
    <n v="0"/>
    <n v="0"/>
    <n v="0"/>
    <n v="0"/>
    <n v="320.13900000000001"/>
    <n v="53.356499999999997"/>
    <n v="240.29400000000001"/>
    <n v="590.65099999999995"/>
    <n v="159.61100000000002"/>
    <n v="179.965"/>
    <n v="1170.521"/>
    <m/>
    <m/>
    <m/>
    <m/>
    <m/>
    <m/>
    <m/>
    <m/>
    <m/>
    <m/>
    <m/>
    <m/>
    <m/>
    <m/>
    <m/>
    <m/>
    <m/>
    <m/>
    <m/>
    <n v="0"/>
    <n v="0"/>
    <m/>
    <m/>
    <m/>
    <m/>
    <m/>
    <m/>
    <m/>
    <m/>
    <m/>
    <m/>
    <m/>
    <m/>
    <m/>
    <m/>
    <m/>
    <m/>
    <m/>
    <m/>
    <m/>
    <m/>
    <m/>
    <m/>
    <m/>
    <m/>
  </r>
  <r>
    <s v="Concho"/>
    <s v="CXO"/>
    <x v="2"/>
    <n v="21.568000000000001"/>
    <n v="7.3360000000000003"/>
    <n v="0"/>
    <n v="10.930666666666667"/>
    <n v="65.584000000000003"/>
    <n v="0"/>
    <n v="0"/>
    <n v="0"/>
    <n v="0"/>
    <n v="0"/>
    <n v="10.930666666666667"/>
    <n v="65.584000000000003"/>
    <n v="1"/>
    <n v="0.32886069773115395"/>
    <n v="0.67113930226884611"/>
    <n v="0"/>
    <n v="75.44"/>
    <n v="0"/>
    <n v="194.13499999999999"/>
    <n v="646.77499999999998"/>
    <n v="282.20699999999994"/>
    <n v="107.79583333333332"/>
    <n v="47.03449999999998"/>
    <n v="0.77408604156151894"/>
    <m/>
    <n v="-14.4"/>
    <n v="109.15"/>
    <n v="38.095999999999997"/>
    <n v="0"/>
    <n v="132.846"/>
    <n v="1.421"/>
    <n v="47.75"/>
    <n v="13.916"/>
    <n v="0"/>
    <n v="63.087000000000003"/>
    <n v="0"/>
    <n v="0"/>
    <n v="0"/>
    <n v="0"/>
    <n v="0"/>
    <n v="511.36800000000005"/>
    <n v="85.228000000000009"/>
    <n v="74.691999999999993"/>
    <n v="205.32900000000001"/>
    <n v="133.65299999999999"/>
    <n v="260.30599999999998"/>
    <n v="673.98"/>
    <n v="2032.0219999999999"/>
    <n v="156.81900000000002"/>
    <n v="940.91399999999999"/>
    <n v="12.957753843603133"/>
    <n v="2.1596256406005225"/>
    <m/>
    <n v="56.048000000000002"/>
    <m/>
    <n v="53.162999999999997"/>
    <n v="53.162999999999997"/>
    <m/>
    <n v="7.2990000000000004"/>
    <n v="7.2990000000000004"/>
    <m/>
    <n v="41.619"/>
    <n v="41.619"/>
    <m/>
    <n v="14.862"/>
    <n v="14.862"/>
    <n v="510.767"/>
    <n v="510.767"/>
    <n v="1"/>
    <n v="172.99099999999999"/>
    <n v="15.826207611612586"/>
    <n v="2.6377012686020977"/>
    <m/>
    <n v="846.971"/>
    <n v="84.697100000000006"/>
    <n v="0.12566708210926142"/>
    <n v="7.7485758721639426"/>
    <n v="1.2914293120273237"/>
    <n v="61.659551110026833"/>
    <n v="10.276591851671139"/>
    <n v="28.783961455215717"/>
    <n v="36.532537327379657"/>
    <n v="90.443512565242543"/>
    <n v="4.7973269092026207"/>
    <n v="6.0887562212299446"/>
    <n v="15.073918760873759"/>
    <n v="4"/>
    <n v="2.8783961455215716"/>
    <n v="31.46278880131446"/>
    <n v="4.6682080775860502E-2"/>
    <n v="8.6679999999999993"/>
    <m/>
  </r>
  <r>
    <s v="Concho"/>
    <s v="CXO"/>
    <x v="3"/>
    <n v="31.405000000000001"/>
    <n v="10.33"/>
    <n v="0"/>
    <n v="15.564166666666667"/>
    <n v="93.385000000000005"/>
    <n v="0"/>
    <n v="0"/>
    <n v="0"/>
    <n v="0"/>
    <n v="0"/>
    <n v="15.564166666666667"/>
    <n v="93.385000000000005"/>
    <n v="1"/>
    <n v="0.33629597901161856"/>
    <n v="0.66370402098838144"/>
    <n v="0"/>
    <n v="95.983999999999995"/>
    <n v="0"/>
    <n v="257.68299999999999"/>
    <n v="833.58699999999999"/>
    <n v="186.81200000000001"/>
    <n v="138.93116666666666"/>
    <n v="31.135333333333335"/>
    <n v="0.28883614858335593"/>
    <m/>
    <n v="5.7249999999999996"/>
    <n v="110.923"/>
    <n v="188.422"/>
    <n v="0"/>
    <n v="305.07"/>
    <n v="-1.8420000000000001"/>
    <n v="41.151000000000003"/>
    <n v="43.363999999999997"/>
    <n v="0"/>
    <n v="82.673000000000002"/>
    <n v="0"/>
    <n v="0"/>
    <n v="0"/>
    <n v="0"/>
    <n v="0"/>
    <n v="801.10799999999995"/>
    <n v="133.518"/>
    <n v="475.68799999999999"/>
    <n v="1216.088"/>
    <n v="200.01300000000001"/>
    <n v="479.01100000000002"/>
    <n v="2370.7999999999997"/>
    <n v="4215.3009999999995"/>
    <n v="272.10249999999996"/>
    <n v="1632.615"/>
    <n v="15.491592322746024"/>
    <n v="2.5819320537910038"/>
    <m/>
    <n v="86.533999999999992"/>
    <m/>
    <n v="94.275000000000006"/>
    <n v="94.275000000000006"/>
    <m/>
    <n v="19.885000000000002"/>
    <n v="19.885000000000002"/>
    <m/>
    <n v="79.875"/>
    <n v="79.875"/>
    <m/>
    <n v="48.052"/>
    <n v="48.052"/>
    <n v="940.26700000000005"/>
    <n v="940.26700000000005"/>
    <n v="1"/>
    <n v="328.62099999999998"/>
    <n v="21.113947636129996"/>
    <n v="3.518991272688333"/>
    <m/>
    <n v="2699.4209999999998"/>
    <n v="269.94209999999998"/>
    <n v="0.11386118609751983"/>
    <n v="17.343819671253414"/>
    <n v="2.8906366118755686"/>
    <n v="152.3242490764041"/>
    <n v="25.387374846067353"/>
    <n v="36.605539958876022"/>
    <n v="53.949359630129436"/>
    <n v="188.92978903528012"/>
    <n v="6.1009233264793368"/>
    <n v="8.9915599383549054"/>
    <n v="31.488298172546688"/>
    <n v="4"/>
    <n v="3.6605539958876023"/>
    <n v="56.973472484327289"/>
    <n v="2.4031328026120843E-2"/>
    <n v="46.826000000000001"/>
    <m/>
  </r>
  <r>
    <s v="Concho"/>
    <s v="CXO"/>
    <x v="4"/>
    <n v="53.713999999999999"/>
    <n v="14.692"/>
    <n v="0"/>
    <n v="23.644333333333336"/>
    <n v="141.86599999999999"/>
    <n v="0"/>
    <n v="0"/>
    <n v="0"/>
    <n v="0"/>
    <n v="0"/>
    <n v="23.644333333333336"/>
    <n v="141.86599999999999"/>
    <n v="1"/>
    <n v="0.37862489955309941"/>
    <n v="0.62137510044690059"/>
    <n v="0"/>
    <n v="94.384"/>
    <n v="0"/>
    <n v="337.24900000000002"/>
    <n v="903.553"/>
    <n v="69.966000000000008"/>
    <n v="150.59216666666669"/>
    <n v="11.66100000000003"/>
    <n v="8.3933650596758572E-2"/>
    <m/>
    <n v="35.966999999999999"/>
    <n v="209.827"/>
    <n v="35.691000000000003"/>
    <n v="0"/>
    <n v="281.48500000000001"/>
    <n v="-9.9920000000000009"/>
    <n v="51.517000000000003"/>
    <n v="6.6310000000000002"/>
    <n v="0"/>
    <n v="48.156000000000006"/>
    <n v="0"/>
    <n v="0"/>
    <n v="0"/>
    <n v="0"/>
    <n v="0"/>
    <n v="570.42100000000005"/>
    <n v="95.070166666666665"/>
    <n v="361.32100000000003"/>
    <n v="163.65799999999999"/>
    <n v="560.495"/>
    <n v="732.65700000000004"/>
    <n v="1818.1310000000003"/>
    <n v="4862.9110000000001"/>
    <n v="313.81616666666667"/>
    <n v="1882.8970000000002"/>
    <n v="15.496049969807164"/>
    <n v="2.5826749949678605"/>
    <m/>
    <n v="146.88799999999998"/>
    <m/>
    <n v="98.525000000000006"/>
    <n v="98.525000000000006"/>
    <m/>
    <n v="22.768000000000001"/>
    <n v="22.768000000000001"/>
    <m/>
    <n v="131.041"/>
    <n v="131.041"/>
    <m/>
    <n v="77.921000000000006"/>
    <n v="77.921000000000006"/>
    <n v="1617.771"/>
    <n v="1617.771"/>
    <n v="1"/>
    <n v="477.14299999999997"/>
    <n v="20.180014943679243"/>
    <n v="3.3633358239465414"/>
    <m/>
    <n v="2295.2740000000003"/>
    <n v="229.52740000000006"/>
    <n v="0.12624359850857833"/>
    <n v="9.7075014450255885"/>
    <n v="1.6179169075042652"/>
    <n v="76.894999506576639"/>
    <n v="12.815833251096109"/>
    <n v="35.676064913486407"/>
    <n v="45.383566358511999"/>
    <n v="112.57106442006304"/>
    <n v="5.9460108189144023"/>
    <n v="7.5639277264186671"/>
    <n v="18.761844070010511"/>
    <n v="4"/>
    <n v="3.5676064913486405"/>
    <n v="84.353677083611046"/>
    <n v="4.6395819159131567E-2"/>
    <n v="107.767"/>
    <m/>
  </r>
  <r>
    <s v="Concho"/>
    <s v="CXO"/>
    <x v="5"/>
    <n v="70.590999999999994"/>
    <n v="18.003"/>
    <n v="0"/>
    <n v="29.768166666666666"/>
    <n v="178.60899999999998"/>
    <n v="0"/>
    <n v="0"/>
    <n v="0"/>
    <n v="0"/>
    <n v="0"/>
    <n v="29.768166666666666"/>
    <n v="178.60899999999998"/>
    <n v="1"/>
    <n v="0.39522644435610749"/>
    <n v="0.60477355564389257"/>
    <n v="0"/>
    <n v="112.572"/>
    <n v="0"/>
    <n v="376.66"/>
    <n v="1052.0920000000001"/>
    <n v="148.5390000000001"/>
    <n v="175.34866666666667"/>
    <n v="24.756499999999988"/>
    <n v="0.16439434100711292"/>
    <m/>
    <n v="-40.49"/>
    <n v="189.37100000000001"/>
    <n v="157.26400000000001"/>
    <n v="0"/>
    <n v="306.14499999999998"/>
    <n v="-15.945"/>
    <n v="60.357999999999997"/>
    <n v="30.268999999999998"/>
    <n v="0"/>
    <n v="74.681999999999988"/>
    <n v="0"/>
    <n v="0"/>
    <n v="0"/>
    <n v="0"/>
    <n v="0"/>
    <n v="754.23699999999985"/>
    <n v="125.70616666666666"/>
    <n v="441.04199999999997"/>
    <n v="857.83600000000001"/>
    <n v="778.56299999999999"/>
    <n v="725.67000000000007"/>
    <n v="2803.1109999999999"/>
    <n v="6992.0420000000004"/>
    <n v="354.29433333333333"/>
    <n v="2125.7659999999996"/>
    <n v="19.735122304148248"/>
    <n v="3.2891870506913752"/>
    <m/>
    <n v="192.94200000000001"/>
    <m/>
    <n v="133.79599999999999"/>
    <n v="133.79599999999999"/>
    <m/>
    <n v="19.673999999999999"/>
    <n v="19.673999999999999"/>
    <m/>
    <n v="150.80099999999999"/>
    <n v="150.80099999999999"/>
    <m/>
    <n v="158.715"/>
    <n v="158.715"/>
    <n v="1819.8140000000001"/>
    <n v="1819.8140000000001"/>
    <n v="1"/>
    <n v="655.92799999999988"/>
    <n v="22.034544731788429"/>
    <n v="3.6724241219647382"/>
    <m/>
    <n v="3459.0389999999998"/>
    <n v="345.90390000000002"/>
    <n v="0.12340000092754087"/>
    <n v="11.619926207525937"/>
    <n v="1.9366543679209898"/>
    <n v="94.164717343470926"/>
    <n v="15.694119557245157"/>
    <n v="41.769667035936678"/>
    <n v="53.389593243462613"/>
    <n v="135.93438437940762"/>
    <n v="6.961611172656113"/>
    <n v="8.8982655405771034"/>
    <n v="22.655730729901272"/>
    <n v="4"/>
    <n v="4.176966703593668"/>
    <n v="124.34064099369357"/>
    <n v="4.435808678061396E-2"/>
    <n v="118.806"/>
    <m/>
  </r>
  <r>
    <s v="Concho"/>
    <s v="CXO"/>
    <x v="6"/>
    <n v="75.054000000000002"/>
    <n v="21.126000000000001"/>
    <n v="0"/>
    <n v="33.635000000000005"/>
    <n v="201.81"/>
    <n v="0"/>
    <n v="0"/>
    <n v="0"/>
    <n v="0"/>
    <n v="0"/>
    <n v="33.635000000000005"/>
    <n v="201.81"/>
    <n v="1"/>
    <n v="0.37190426638917795"/>
    <n v="0.62809573361082205"/>
    <n v="0"/>
    <n v="127.86199999999999"/>
    <n v="0"/>
    <n v="430.82299999999998"/>
    <n v="1197.9949999999999"/>
    <n v="145.90299999999979"/>
    <n v="199.66583333333332"/>
    <n v="24.317166666666651"/>
    <n v="0.13867893682301538"/>
    <m/>
    <n v="2.3130000000000002"/>
    <n v="199.886"/>
    <n v="4.016"/>
    <n v="0"/>
    <n v="206.21499999999997"/>
    <n v="-17.914000000000001"/>
    <n v="72.025000000000006"/>
    <n v="0.88900000000000001"/>
    <n v="0"/>
    <n v="55.000000000000007"/>
    <n v="0"/>
    <n v="0"/>
    <n v="0"/>
    <n v="0"/>
    <n v="0"/>
    <n v="536.21500000000003"/>
    <n v="89.369166666666672"/>
    <n v="85.537999999999997"/>
    <n v="11.499000000000001"/>
    <n v="1027.1209999999999"/>
    <n v="728.96299999999997"/>
    <n v="1853.1209999999999"/>
    <n v="6474.3630000000003"/>
    <n v="310.14549999999997"/>
    <n v="1860.873"/>
    <n v="20.875244038685072"/>
    <n v="3.479207339780845"/>
    <m/>
    <n v="263.87199999999996"/>
    <m/>
    <n v="169.815"/>
    <n v="169.815"/>
    <m/>
    <n v="21.376000000000001"/>
    <n v="21.376000000000001"/>
    <m/>
    <n v="191.56400000000002"/>
    <n v="191.56400000000002"/>
    <m/>
    <n v="200.96100000000001"/>
    <n v="200.96100000000001"/>
    <n v="2319.9189999999999"/>
    <n v="2319.9189999999999"/>
    <n v="1"/>
    <n v="847.58799999999997"/>
    <n v="25.199583766909463"/>
    <n v="4.1999306278182447"/>
    <m/>
    <n v="2700.7089999999998"/>
    <n v="270.07089999999999"/>
    <n v="0.14573840564107796"/>
    <n v="8.0294603835290612"/>
    <n v="1.3382433972548435"/>
    <n v="55.095020068381139"/>
    <n v="9.1825033447301916"/>
    <n v="46.074827805594538"/>
    <n v="54.104288189123601"/>
    <n v="101.16984787397567"/>
    <n v="7.6791379675990896"/>
    <n v="9.0173813648539323"/>
    <n v="16.861641312329283"/>
    <n v="4"/>
    <n v="4.6074827805594536"/>
    <n v="154.97268332411724"/>
    <n v="8.3627935425758623E-2"/>
    <n v="144.50399999999999"/>
    <m/>
  </r>
  <r>
    <s v="Concho"/>
    <s v="CXO"/>
    <x v="7"/>
    <n v="87.335999999999999"/>
    <n v="26.318999999999999"/>
    <n v="0"/>
    <n v="40.875"/>
    <n v="245.25"/>
    <n v="0"/>
    <n v="0"/>
    <n v="0"/>
    <n v="0"/>
    <n v="0"/>
    <n v="40.875"/>
    <n v="245.25"/>
    <n v="1"/>
    <n v="0.35611009174311925"/>
    <n v="0.64388990825688075"/>
    <n v="0"/>
    <n v="158.90100000000001"/>
    <n v="0"/>
    <n v="608.44799999999998"/>
    <n v="1561.854"/>
    <n v="363.85900000000015"/>
    <n v="260.30900000000003"/>
    <n v="60.643166666666701"/>
    <n v="0.3037233043543589"/>
    <m/>
    <n v="95.811999999999998"/>
    <n v="400.32900000000001"/>
    <n v="18.97"/>
    <n v="0"/>
    <n v="515.11099999999999"/>
    <n v="-28.648"/>
    <n v="115.389"/>
    <n v="2.5430000000000001"/>
    <n v="0"/>
    <n v="89.284000000000006"/>
    <n v="0"/>
    <n v="0"/>
    <n v="0"/>
    <n v="0"/>
    <n v="0"/>
    <n v="1050.8150000000001"/>
    <n v="175.13583333333332"/>
    <n v="292.363"/>
    <n v="99.361999999999995"/>
    <n v="1612.6490000000001"/>
    <n v="930.00299999999993"/>
    <n v="2934.3770000000004"/>
    <n v="7590.6090000000004"/>
    <n v="390.21116666666666"/>
    <n v="2341.2669999999998"/>
    <n v="19.452567349217325"/>
    <n v="3.2420945582028882"/>
    <m/>
    <n v="329.25099999999998"/>
    <m/>
    <n v="204.161"/>
    <n v="204.161"/>
    <m/>
    <n v="27.844000000000001"/>
    <n v="27.844000000000001"/>
    <m/>
    <n v="209.12300000000002"/>
    <n v="209.12300000000002"/>
    <m/>
    <n v="211.34200000000001"/>
    <n v="211.34200000000001"/>
    <n v="2660.1469999999999"/>
    <n v="2660.1469999999999"/>
    <n v="1"/>
    <n v="981.721"/>
    <n v="24.017639143730886"/>
    <n v="4.0029398572884816"/>
    <m/>
    <n v="3916.0980000000004"/>
    <n v="391.60980000000006"/>
    <n v="0.13345585792146"/>
    <n v="9.5806678899082591"/>
    <n v="1.5967779816513763"/>
    <n v="71.789039755351695"/>
    <n v="11.964839959225282"/>
    <n v="43.470206492948208"/>
    <n v="53.050874382856463"/>
    <n v="115.2592462482999"/>
    <n v="7.2450344154913697"/>
    <n v="8.8418123971427462"/>
    <n v="19.209874374716652"/>
    <n v="4"/>
    <n v="4.3470206492948211"/>
    <n v="177.6844690399258"/>
    <n v="6.0552706431356906E-2"/>
    <n v="241.65700000000001"/>
    <m/>
  </r>
  <r>
    <s v="Concho"/>
    <s v="CXO"/>
    <x v="8"/>
    <n v="106.98699999999999"/>
    <n v="34.457000000000001"/>
    <n v="0"/>
    <n v="52.288166666666669"/>
    <n v="313.72900000000004"/>
    <n v="0"/>
    <n v="0"/>
    <n v="0"/>
    <n v="0"/>
    <n v="0"/>
    <n v="52.288166666666669"/>
    <n v="313.72900000000004"/>
    <n v="1"/>
    <n v="0.34101724736954497"/>
    <n v="0.65898275263045492"/>
    <n v="0"/>
    <n v="163.904"/>
    <n v="0"/>
    <n v="607.43399999999997"/>
    <n v="1590.8579999999999"/>
    <n v="29.003999999999905"/>
    <n v="265.14299999999997"/>
    <n v="4.8339999999999463"/>
    <n v="1.8570237679065824E-2"/>
    <m/>
    <n v="-344.26799999999997"/>
    <n v="359.161"/>
    <n v="27.722000000000001"/>
    <n v="0"/>
    <n v="42.61500000000003"/>
    <n v="-71.453000000000003"/>
    <n v="97.207999999999998"/>
    <n v="7.0830000000000002"/>
    <n v="0"/>
    <n v="32.837999999999994"/>
    <n v="0"/>
    <n v="0"/>
    <n v="0"/>
    <n v="0"/>
    <n v="0"/>
    <n v="239.643"/>
    <n v="39.9405"/>
    <n v="206.214"/>
    <n v="57.19"/>
    <n v="1120.7670000000001"/>
    <n v="718.17199999999991"/>
    <n v="2102.3429999999998"/>
    <n v="6889.8410000000003"/>
    <n v="304.44549999999998"/>
    <n v="1826.6730000000002"/>
    <n v="22.630786134135668"/>
    <n v="3.7717976890226108"/>
    <m/>
    <n v="389.70400000000006"/>
    <m/>
    <n v="230.73400000000001"/>
    <n v="230.73400000000001"/>
    <m/>
    <n v="3.95"/>
    <n v="3.95"/>
    <m/>
    <n v="151.655"/>
    <n v="151.655"/>
    <m/>
    <n v="211.44300000000001"/>
    <n v="211.44300000000001"/>
    <n v="1803.5730000000001"/>
    <n v="1803.5730000000001"/>
    <n v="1"/>
    <n v="987.4860000000001"/>
    <n v="18.885458468933379"/>
    <n v="3.1475764114888962"/>
    <m/>
    <n v="3089.8289999999997"/>
    <n v="308.98289999999997"/>
    <n v="0.14697073693493401"/>
    <n v="5.9092318529686443"/>
    <n v="0.9848719754947739"/>
    <n v="40.206860060753066"/>
    <n v="6.7011433434588437"/>
    <n v="41.516244603069048"/>
    <n v="47.425476456037693"/>
    <n v="81.723104663822113"/>
    <n v="6.919374100511507"/>
    <n v="7.9042460760062809"/>
    <n v="13.62051744397035"/>
    <n v="4"/>
    <n v="4.1516244603069046"/>
    <n v="217.08083171793749"/>
    <n v="0.10325661974184874"/>
    <n v="116.19799999999999"/>
    <m/>
  </r>
  <r>
    <s v="Concho"/>
    <s v="CXO"/>
    <x v="9"/>
    <n v="127.48099999999999"/>
    <n v="33.840000000000003"/>
    <n v="0"/>
    <n v="55.086833333333331"/>
    <n v="330.52100000000002"/>
    <n v="0"/>
    <n v="0"/>
    <n v="0"/>
    <n v="0"/>
    <n v="0"/>
    <n v="55.086833333333331"/>
    <n v="330.52100000000002"/>
    <n v="1"/>
    <n v="0.38569712665761025"/>
    <n v="0.61430287334238987"/>
    <n v="0"/>
    <n v="160.83199999999999"/>
    <n v="0"/>
    <n v="561.26199999999994"/>
    <n v="1526.2539999999999"/>
    <n v="-64.604000000000042"/>
    <n v="254.37566666666663"/>
    <n v="-10.76733333333334"/>
    <n v="-4.0609532717565018E-2"/>
    <m/>
    <n v="4.3760000000000003"/>
    <n v="156.928"/>
    <n v="108.48399999999999"/>
    <n v="0"/>
    <n v="269.78800000000001"/>
    <n v="-24.721"/>
    <n v="83.617000000000004"/>
    <n v="40.991999999999997"/>
    <n v="0"/>
    <n v="99.888000000000005"/>
    <n v="0"/>
    <n v="0"/>
    <n v="0"/>
    <n v="0"/>
    <n v="0"/>
    <n v="869.11599999999999"/>
    <n v="144.85266666666666"/>
    <n v="1154.423"/>
    <n v="981.85500000000002"/>
    <n v="700.23299999999995"/>
    <n v="447.363"/>
    <n v="3283.8740000000003"/>
    <n v="8320.594000000001"/>
    <n v="359.92899999999997"/>
    <n v="2159.5740000000001"/>
    <n v="23.117320360404417"/>
    <n v="3.8528867267340692"/>
    <m/>
    <n v="319.85399999999993"/>
    <m/>
    <n v="225.565"/>
    <n v="225.565"/>
    <m/>
    <n v="0"/>
    <n v="0"/>
    <m/>
    <n v="131.45000000000002"/>
    <n v="131.45000000000002"/>
    <m/>
    <n v="232.173"/>
    <n v="232.173"/>
    <n v="1634.9880000000001"/>
    <n v="1634.9880000000001"/>
    <n v="1"/>
    <n v="909.04200000000003"/>
    <n v="16.501983232532883"/>
    <n v="2.7503305387554802"/>
    <m/>
    <n v="4192.9160000000002"/>
    <n v="419.29160000000002"/>
    <n v="0.12768199997929275"/>
    <n v="7.6114667449269495"/>
    <n v="1.2685777908211582"/>
    <n v="59.612684216736611"/>
    <n v="9.9354473694561012"/>
    <n v="39.6193035929373"/>
    <n v="47.23077033786425"/>
    <n v="99.23198780967391"/>
    <n v="6.6032172654895493"/>
    <n v="7.8717950563107077"/>
    <n v="16.538664634945651"/>
    <n v="5"/>
    <n v="3.9619303592937301"/>
    <n v="218.25019738068715"/>
    <n v="6.6461197165508523E-2"/>
    <n v="151.148"/>
    <m/>
  </r>
  <r>
    <s v="Conoco Phillips"/>
    <s v="COP"/>
    <x v="0"/>
    <n v="948"/>
    <n v="166"/>
    <n v="0"/>
    <n v="324"/>
    <n v="1944"/>
    <n v="1059"/>
    <n v="168"/>
    <n v="0"/>
    <n v="344.5"/>
    <n v="2067"/>
    <n v="668.5"/>
    <n v="4011"/>
    <n v="0.48466716529543757"/>
    <n v="0.48765432098765432"/>
    <n v="0.51234567901234573"/>
    <n v="0"/>
    <n v="247"/>
    <n v="0"/>
    <n v="1873"/>
    <n v="3355"/>
    <m/>
    <n v="559.16666666666674"/>
    <m/>
    <m/>
    <m/>
    <n v="566"/>
    <n v="544"/>
    <n v="30"/>
    <n v="6"/>
    <n v="1146"/>
    <n v="75"/>
    <n v="53"/>
    <n v="0"/>
    <n v="41"/>
    <n v="169"/>
    <n v="0"/>
    <n v="0"/>
    <n v="0"/>
    <n v="0"/>
    <n v="0"/>
    <n v="2160"/>
    <n v="360"/>
    <n v="207"/>
    <n v="42"/>
    <n v="583"/>
    <n v="2942"/>
    <n v="3774"/>
    <m/>
    <m/>
    <m/>
    <m/>
    <m/>
    <m/>
    <m/>
    <m/>
    <m/>
    <m/>
    <m/>
    <m/>
    <m/>
    <m/>
    <m/>
    <m/>
    <m/>
    <m/>
    <m/>
    <n v="0"/>
    <n v="0"/>
    <m/>
    <m/>
    <m/>
    <m/>
    <m/>
    <m/>
    <m/>
    <m/>
    <m/>
    <m/>
    <m/>
    <m/>
    <m/>
    <m/>
    <m/>
    <m/>
    <m/>
    <m/>
    <n v="4"/>
    <m/>
    <m/>
    <m/>
    <m/>
    <m/>
  </r>
  <r>
    <s v="Conoco Phillips"/>
    <s v="COP"/>
    <x v="1"/>
    <n v="869"/>
    <n v="157"/>
    <n v="0"/>
    <n v="301.83333333333337"/>
    <n v="1811"/>
    <n v="1108"/>
    <n v="173"/>
    <n v="0"/>
    <n v="357.66666666666663"/>
    <n v="2146"/>
    <n v="659.5"/>
    <n v="3957"/>
    <n v="0.45766995198382615"/>
    <n v="0.47984538928768639"/>
    <n v="0.52015461071231361"/>
    <n v="0"/>
    <n v="252"/>
    <n v="0"/>
    <n v="1632"/>
    <n v="3144"/>
    <n v="-211"/>
    <n v="524"/>
    <n v="-35.166666666666742"/>
    <n v="-6.2891207153502368E-2"/>
    <m/>
    <n v="-1122"/>
    <n v="275"/>
    <n v="13"/>
    <n v="17"/>
    <n v="-817"/>
    <n v="-223"/>
    <n v="38"/>
    <n v="0"/>
    <n v="28"/>
    <n v="-157"/>
    <n v="0"/>
    <n v="0"/>
    <n v="0"/>
    <n v="0"/>
    <n v="0"/>
    <n v="-1759"/>
    <n v="-293.16666666666663"/>
    <n v="1019"/>
    <n v="37"/>
    <n v="857"/>
    <n v="3281"/>
    <n v="5194"/>
    <m/>
    <m/>
    <m/>
    <m/>
    <m/>
    <m/>
    <m/>
    <m/>
    <m/>
    <m/>
    <m/>
    <m/>
    <m/>
    <m/>
    <m/>
    <m/>
    <m/>
    <m/>
    <m/>
    <n v="0"/>
    <n v="0"/>
    <m/>
    <m/>
    <m/>
    <m/>
    <m/>
    <m/>
    <m/>
    <m/>
    <m/>
    <m/>
    <m/>
    <m/>
    <m/>
    <m/>
    <m/>
    <m/>
    <m/>
    <m/>
    <n v="4"/>
    <m/>
    <m/>
    <m/>
    <m/>
    <m/>
  </r>
  <r>
    <s v="Conoco Phillips"/>
    <s v="COP"/>
    <x v="2"/>
    <n v="850"/>
    <n v="153"/>
    <n v="0"/>
    <n v="294.66666666666663"/>
    <n v="1768"/>
    <n v="1056"/>
    <n v="188"/>
    <n v="0"/>
    <n v="364"/>
    <n v="2184"/>
    <n v="658.66666666666663"/>
    <n v="3952"/>
    <n v="0.44736842105263158"/>
    <n v="0.48076923076923078"/>
    <n v="0.51923076923076927"/>
    <n v="0"/>
    <n v="116"/>
    <n v="101"/>
    <n v="1365"/>
    <n v="2667"/>
    <n v="-477"/>
    <n v="444.5"/>
    <n v="-79.5"/>
    <n v="-0.15171755725190839"/>
    <m/>
    <n v="526"/>
    <n v="146"/>
    <n v="0"/>
    <n v="3"/>
    <n v="675"/>
    <n v="85"/>
    <n v="31"/>
    <n v="0"/>
    <n v="15"/>
    <n v="131"/>
    <n v="0"/>
    <n v="0"/>
    <n v="0"/>
    <n v="0"/>
    <n v="0"/>
    <n v="1461"/>
    <n v="243.5"/>
    <n v="78"/>
    <n v="7"/>
    <n v="613"/>
    <n v="2516"/>
    <n v="3214"/>
    <n v="12182"/>
    <n v="310.33333333333337"/>
    <n v="1862"/>
    <n v="39.254564983888287"/>
    <n v="6.5424274973147156"/>
    <m/>
    <n v="3070"/>
    <n v="1830"/>
    <n v="0"/>
    <n v="818.68421052631595"/>
    <n v="998"/>
    <n v="0"/>
    <n v="446.47368421052636"/>
    <n v="0"/>
    <n v="1557"/>
    <n v="1557"/>
    <n v="1776"/>
    <m/>
    <n v="794.52631578947376"/>
    <n v="48509"/>
    <n v="48509"/>
    <n v="0.44736842105263164"/>
    <n v="6686.6842105263158"/>
    <n v="22.69236723029293"/>
    <n v="3.7820612050488212"/>
    <m/>
    <n v="9900.6842105263167"/>
    <n v="990.06842105263172"/>
    <n v="0.30804866865358799"/>
    <n v="3.3599607049297462"/>
    <n v="0.55999345082162433"/>
    <n v="10.907239819004527"/>
    <n v="1.8178733031674208"/>
    <n v="61.946932214181217"/>
    <n v="65.306892919110965"/>
    <n v="72.854172033185748"/>
    <n v="10.324488702363537"/>
    <n v="10.884482153185161"/>
    <n v="12.142362005530957"/>
    <n v="4"/>
    <n v="6.1946932214181221"/>
    <n v="1825.3696025778731"/>
    <n v="0.56794324909081306"/>
    <n v="908"/>
    <m/>
  </r>
  <r>
    <s v="Conoco Phillips"/>
    <s v="COP"/>
    <x v="3"/>
    <n v="764"/>
    <n v="109"/>
    <n v="30"/>
    <n v="266.33333333333331"/>
    <n v="1598"/>
    <n v="1030"/>
    <n v="156"/>
    <n v="23"/>
    <n v="350.66666666666663"/>
    <n v="2104"/>
    <n v="617"/>
    <n v="3702"/>
    <n v="0.43165856293895194"/>
    <n v="0.47809762202753442"/>
    <n v="0.40926157697121407"/>
    <n v="0.11264080100125157"/>
    <n v="167"/>
    <n v="78"/>
    <n v="1295"/>
    <n v="2765"/>
    <n v="98"/>
    <n v="460.83333333333337"/>
    <n v="16.333333333333371"/>
    <n v="3.6745406824147064E-2"/>
    <m/>
    <n v="520"/>
    <n v="126"/>
    <n v="9"/>
    <n v="25"/>
    <n v="680"/>
    <n v="74"/>
    <n v="44"/>
    <n v="0"/>
    <n v="53"/>
    <n v="171"/>
    <n v="15"/>
    <n v="3"/>
    <n v="1"/>
    <n v="0"/>
    <n v="19"/>
    <n v="1820"/>
    <n v="303.33333333333331"/>
    <n v="260"/>
    <n v="100"/>
    <n v="606"/>
    <n v="2027"/>
    <n v="2993"/>
    <n v="11401"/>
    <n v="253.66666666666669"/>
    <n v="1522"/>
    <n v="44.944809461235216"/>
    <n v="7.4908015768725358"/>
    <m/>
    <n v="3031"/>
    <n v="809"/>
    <n v="0"/>
    <n v="349.2117774176121"/>
    <n v="1210"/>
    <n v="0"/>
    <n v="522.30686115613184"/>
    <n v="0"/>
    <n v="2068"/>
    <n v="2068"/>
    <n v="1658"/>
    <n v="0"/>
    <n v="715.68989735278228"/>
    <n v="56215"/>
    <n v="56215"/>
    <n v="0.43165856293895194"/>
    <n v="6686.2085359265266"/>
    <n v="25.104662838272318"/>
    <n v="4.1841104730453855"/>
    <m/>
    <n v="9679.2085359265257"/>
    <n v="967.92085359265263"/>
    <n v="0.3233948725668736"/>
    <n v="3.6342460084830512"/>
    <n v="0.60570766808050858"/>
    <n v="11.237797246558198"/>
    <n v="1.8729662077596996"/>
    <n v="70.049472299507528"/>
    <n v="73.683718307990574"/>
    <n v="81.28726954606573"/>
    <n v="11.674912049917921"/>
    <n v="12.28061971799843"/>
    <n v="13.54787825767762"/>
    <n v="4"/>
    <n v="7.0049472299507531"/>
    <n v="1865.6509455768837"/>
    <n v="0.62333810410186563"/>
    <n v="1013"/>
    <m/>
  </r>
  <r>
    <s v="Conoco Phillips"/>
    <s v="COP"/>
    <x v="4"/>
    <n v="708"/>
    <n v="107"/>
    <n v="32"/>
    <n v="257"/>
    <n v="1542"/>
    <n v="924"/>
    <n v="116"/>
    <n v="19"/>
    <n v="289"/>
    <n v="1734"/>
    <n v="546"/>
    <n v="3276"/>
    <n v="0.47069597069597069"/>
    <n v="0.45914396887159531"/>
    <n v="0.41634241245136189"/>
    <n v="0.1245136186770428"/>
    <n v="190"/>
    <n v="73"/>
    <n v="1047"/>
    <n v="2625"/>
    <n v="-140"/>
    <n v="437.5"/>
    <n v="-23.333333333333371"/>
    <n v="-5.0632911392405139E-2"/>
    <m/>
    <n v="201"/>
    <n v="174"/>
    <n v="7"/>
    <n v="6"/>
    <n v="388"/>
    <n v="87"/>
    <n v="77"/>
    <n v="0"/>
    <n v="17"/>
    <n v="181"/>
    <n v="28"/>
    <n v="12"/>
    <n v="1"/>
    <n v="0"/>
    <n v="41"/>
    <n v="1720"/>
    <n v="286.66666666666669"/>
    <n v="578"/>
    <n v="10"/>
    <n v="1115"/>
    <n v="3132"/>
    <n v="4835"/>
    <n v="11042"/>
    <n v="833.5"/>
    <n v="5001"/>
    <n v="13.247750449910018"/>
    <n v="2.2079584083183361"/>
    <m/>
    <n v="3314"/>
    <n v="865"/>
    <n v="0"/>
    <n v="407.15201465201466"/>
    <n v="9827"/>
    <n v="0"/>
    <n v="4625.5293040293036"/>
    <n v="0"/>
    <n v="3241"/>
    <n v="3241"/>
    <n v="1442"/>
    <n v="0"/>
    <n v="678.74358974358972"/>
    <n v="64196"/>
    <n v="64196"/>
    <n v="0.47069597069597069"/>
    <n v="12266.424908424908"/>
    <n v="47.729279799318704"/>
    <n v="7.9548799665531176"/>
    <m/>
    <n v="17101.42490842491"/>
    <n v="1710.142490842491"/>
    <n v="0.3537006185816941"/>
    <n v="6.6542509371303149"/>
    <n v="1.1090418228550525"/>
    <n v="18.813229571984436"/>
    <n v="3.1355382619974059"/>
    <n v="60.977030249228719"/>
    <n v="67.631281186359033"/>
    <n v="79.790259821213155"/>
    <n v="10.162838374871454"/>
    <n v="11.271880197726507"/>
    <n v="13.298376636868859"/>
    <n v="4"/>
    <n v="6.0977030249228719"/>
    <n v="1567.109677405178"/>
    <n v="0.32411782366187758"/>
    <n v="1037"/>
    <m/>
  </r>
  <r>
    <s v="Conoco Phillips"/>
    <s v="COP"/>
    <x v="5"/>
    <n v="685"/>
    <n v="115"/>
    <n v="36"/>
    <n v="265.16666666666669"/>
    <n v="1591"/>
    <n v="854"/>
    <n v="106"/>
    <n v="21"/>
    <n v="269.33333333333337"/>
    <n v="1616"/>
    <n v="534.5"/>
    <n v="3207"/>
    <n v="0.49610227627065795"/>
    <n v="0.43054682589566312"/>
    <n v="0.43368950345694529"/>
    <n v="0.13576367064739156"/>
    <n v="307"/>
    <n v="69"/>
    <n v="925"/>
    <n v="3181"/>
    <n v="556"/>
    <n v="530.16666666666663"/>
    <n v="92.666666666666629"/>
    <n v="0.21180952380952373"/>
    <m/>
    <n v="-483"/>
    <n v="451"/>
    <n v="9"/>
    <n v="27"/>
    <n v="4"/>
    <n v="9"/>
    <n v="205"/>
    <n v="0"/>
    <n v="16"/>
    <n v="230"/>
    <n v="-9"/>
    <n v="40"/>
    <n v="1"/>
    <n v="0"/>
    <n v="32"/>
    <n v="1576"/>
    <n v="262.66666666666663"/>
    <n v="564"/>
    <n v="33"/>
    <n v="1376"/>
    <n v="4561"/>
    <n v="6534"/>
    <n v="14362"/>
    <n v="852.66666666666663"/>
    <n v="5116"/>
    <n v="16.843627834245506"/>
    <n v="2.8072713057075842"/>
    <m/>
    <n v="3576"/>
    <n v="1106"/>
    <n v="0"/>
    <n v="548.68911755534759"/>
    <n v="8100"/>
    <n v="0"/>
    <n v="4018.4284377923291"/>
    <n v="0"/>
    <n v="2990"/>
    <n v="2990"/>
    <n v="1324"/>
    <n v="0"/>
    <n v="656.83941378235102"/>
    <n v="57967"/>
    <n v="57967"/>
    <n v="0.49610227627065789"/>
    <n v="11789.956969130028"/>
    <n v="44.462439858441336"/>
    <n v="7.4104066430735562"/>
    <m/>
    <n v="18323.956969130028"/>
    <n v="1832.3956969130029"/>
    <n v="0.28044011278129827"/>
    <n v="6.9103546080942904"/>
    <n v="1.1517257680157151"/>
    <n v="24.64110622250157"/>
    <n v="4.1068510370835956"/>
    <n v="61.306067692686838"/>
    <n v="68.216422300781133"/>
    <n v="85.947173915188415"/>
    <n v="10.217677948781141"/>
    <n v="11.369403716796857"/>
    <n v="14.324528985864736"/>
    <n v="4"/>
    <n v="6.1306067692686836"/>
    <n v="1625.6325616510794"/>
    <n v="0.24879592311770424"/>
    <n v="1038"/>
    <m/>
  </r>
  <r>
    <s v="Conoco Phillips"/>
    <s v="COP"/>
    <x v="6"/>
    <n v="678"/>
    <n v="120"/>
    <n v="40"/>
    <n v="273"/>
    <n v="1638"/>
    <n v="977"/>
    <n v="98"/>
    <n v="59"/>
    <n v="319.83333333333337"/>
    <n v="1919"/>
    <n v="592.83333333333337"/>
    <n v="3557"/>
    <n v="0.46050042170368288"/>
    <n v="0.41391941391941389"/>
    <n v="0.43956043956043955"/>
    <n v="0.14652014652014653"/>
    <n v="441"/>
    <n v="100"/>
    <n v="939"/>
    <n v="4185"/>
    <n v="1004"/>
    <n v="697.5"/>
    <n v="167.33333333333337"/>
    <n v="0.31562401760452696"/>
    <m/>
    <n v="287"/>
    <n v="510"/>
    <n v="0"/>
    <n v="6"/>
    <n v="803"/>
    <n v="13"/>
    <n v="244"/>
    <n v="0"/>
    <n v="20"/>
    <n v="277"/>
    <n v="45"/>
    <n v="58"/>
    <n v="0"/>
    <n v="0"/>
    <n v="103"/>
    <n v="3083"/>
    <n v="513.83333333333337"/>
    <n v="314"/>
    <n v="4"/>
    <n v="1315"/>
    <n v="4992"/>
    <n v="6625"/>
    <n v="17994"/>
    <n v="1063.1666666666665"/>
    <n v="6379"/>
    <n v="16.924909860479701"/>
    <n v="2.8208183100799498"/>
    <m/>
    <n v="4068"/>
    <n v="854"/>
    <n v="0"/>
    <n v="393.26736013494525"/>
    <n v="4910"/>
    <n v="0"/>
    <n v="2261.0570705650834"/>
    <n v="0"/>
    <n v="2261"/>
    <n v="2261"/>
    <n v="1279"/>
    <n v="0"/>
    <n v="588.98003935901045"/>
    <n v="54413"/>
    <n v="54413"/>
    <n v="0.46050042170368294"/>
    <n v="9572.3044700590399"/>
    <n v="35.063386337212599"/>
    <n v="5.8438977228687667"/>
    <m/>
    <n v="16197.30447005904"/>
    <n v="1619.7304470059041"/>
    <n v="0.24448761464240062"/>
    <n v="5.9330785604611869"/>
    <n v="0.98884642674353118"/>
    <n v="24.267399267399266"/>
    <n v="4.0445665445665444"/>
    <n v="51.9882961976923"/>
    <n v="57.92137475815349"/>
    <n v="76.255695465091563"/>
    <n v="8.6647160329487161"/>
    <n v="9.6535624596922478"/>
    <n v="12.70928257751526"/>
    <n v="4"/>
    <n v="5.1988296197692296"/>
    <n v="1419.2804861969996"/>
    <n v="0.21423101678445278"/>
    <n v="994"/>
    <m/>
  </r>
  <r>
    <s v="Conoco Phillips"/>
    <s v="COP"/>
    <x v="7"/>
    <n v="679"/>
    <n v="132"/>
    <n v="40"/>
    <n v="285.16666666666669"/>
    <n v="1711"/>
    <n v="950"/>
    <n v="90"/>
    <n v="64"/>
    <n v="312.33333333333337"/>
    <n v="1874"/>
    <n v="597.5"/>
    <n v="3585"/>
    <n v="0.47726638772663876"/>
    <n v="0.39684395090590296"/>
    <n v="0.46288720046756282"/>
    <n v="0.14026884862653419"/>
    <n v="476"/>
    <n v="103"/>
    <n v="1079"/>
    <n v="4553"/>
    <n v="368"/>
    <n v="758.83333333333337"/>
    <n v="61.333333333333371"/>
    <n v="8.7933094384707339E-2"/>
    <m/>
    <n v="506"/>
    <n v="263"/>
    <n v="0"/>
    <n v="0"/>
    <n v="769"/>
    <n v="19"/>
    <n v="132"/>
    <n v="0"/>
    <n v="8"/>
    <n v="159"/>
    <n v="-13"/>
    <n v="26"/>
    <n v="0"/>
    <n v="0"/>
    <n v="13"/>
    <n v="1801"/>
    <n v="300.16666666666663"/>
    <n v="159"/>
    <n v="10"/>
    <n v="1477"/>
    <n v="6144"/>
    <n v="7790"/>
    <n v="20949"/>
    <n v="1076.6666666666665"/>
    <n v="6460"/>
    <n v="19.457275541795667"/>
    <n v="3.2428792569659444"/>
    <m/>
    <n v="4346"/>
    <n v="735"/>
    <n v="0"/>
    <n v="350.79079497907946"/>
    <n v="4203"/>
    <n v="0"/>
    <n v="2005.9506276150628"/>
    <n v="0"/>
    <n v="1542"/>
    <n v="1542"/>
    <n v="1136"/>
    <n v="0"/>
    <n v="542.17461645746164"/>
    <n v="52524"/>
    <n v="52524"/>
    <n v="0.47726638772663876"/>
    <n v="8786.9160390516045"/>
    <n v="30.813264894394869"/>
    <n v="5.1355441490658125"/>
    <m/>
    <n v="16576.916039051604"/>
    <n v="1657.6916039051605"/>
    <n v="0.21279738175932741"/>
    <n v="5.8130623164412407"/>
    <n v="0.96884371940687342"/>
    <n v="27.317358270017532"/>
    <n v="4.5528930450029224"/>
    <n v="50.270540436190537"/>
    <n v="56.083602752631776"/>
    <n v="77.587898706208065"/>
    <n v="8.3784234060317573"/>
    <n v="9.3472671254386306"/>
    <n v="12.931316451034679"/>
    <n v="4"/>
    <n v="5.0270540436190538"/>
    <n v="1433.5482447720335"/>
    <n v="0.18402416492580662"/>
    <n v="1299"/>
    <m/>
  </r>
  <r>
    <s v="Conoco Phillips"/>
    <s v="COP"/>
    <x v="8"/>
    <n v="671"/>
    <n v="135"/>
    <n v="41"/>
    <n v="287.83333333333331"/>
    <n v="1727"/>
    <n v="972"/>
    <n v="87"/>
    <n v="74"/>
    <n v="323"/>
    <n v="1938"/>
    <n v="610.83333333333326"/>
    <n v="3665"/>
    <n v="0.47121418826739425"/>
    <n v="0.38853503184713378"/>
    <n v="0.46902142443543721"/>
    <n v="0.14244354371742907"/>
    <n v="401"/>
    <n v="86"/>
    <n v="747"/>
    <n v="3669"/>
    <n v="-884"/>
    <n v="611.5"/>
    <n v="-147.33333333333337"/>
    <n v="-0.19415769822095325"/>
    <m/>
    <n v="-1177"/>
    <n v="107"/>
    <n v="0"/>
    <n v="0"/>
    <n v="-1070"/>
    <n v="-184"/>
    <n v="77"/>
    <n v="0"/>
    <n v="8"/>
    <n v="-99"/>
    <n v="-85"/>
    <n v="10"/>
    <n v="0"/>
    <n v="0"/>
    <n v="-75"/>
    <n v="-2114"/>
    <n v="-352.33333333333337"/>
    <n v="168"/>
    <n v="5"/>
    <n v="1456"/>
    <n v="4092"/>
    <n v="5721"/>
    <n v="20136"/>
    <n v="461.66666666666663"/>
    <n v="2770"/>
    <n v="43.615884476534298"/>
    <n v="7.2693140794223829"/>
    <m/>
    <n v="4261"/>
    <n v="953"/>
    <n v="0"/>
    <n v="449.06712141882673"/>
    <n v="523"/>
    <n v="0"/>
    <n v="246.44502046384719"/>
    <n v="0"/>
    <n v="639"/>
    <n v="639"/>
    <n v="1214"/>
    <n v="0"/>
    <n v="572.05402455661658"/>
    <n v="29564"/>
    <n v="29564"/>
    <n v="0.47121418826739425"/>
    <n v="6167.5661664392901"/>
    <n v="21.427560508764181"/>
    <n v="3.5712600847940301"/>
    <m/>
    <n v="11888.56616643929"/>
    <n v="1188.8566166439291"/>
    <n v="0.20780573617268469"/>
    <n v="4.1303646206505933"/>
    <n v="0.68839410344176555"/>
    <n v="19.87608569774175"/>
    <n v="3.3126809496236249"/>
    <n v="65.043444985298478"/>
    <n v="69.173809605949074"/>
    <n v="84.919530683040222"/>
    <n v="10.840574164216413"/>
    <n v="11.528968267658179"/>
    <n v="14.153255113840038"/>
    <n v="4"/>
    <n v="6.5043444985298482"/>
    <n v="1872.1671581601745"/>
    <n v="0.32724474010840315"/>
    <n v="1260"/>
    <m/>
  </r>
  <r>
    <s v="Conoco Phillips"/>
    <s v="COP"/>
    <x v="9"/>
    <n v="567"/>
    <n v="131"/>
    <n v="36"/>
    <n v="261.5"/>
    <n v="1569"/>
    <n v="994"/>
    <n v="87"/>
    <n v="84"/>
    <n v="336.66666666666663"/>
    <n v="2020"/>
    <n v="598.16666666666663"/>
    <n v="3589"/>
    <n v="0.43716912789077739"/>
    <n v="0.36137667304015297"/>
    <n v="0.50095602294455066"/>
    <n v="0.13766730401529637"/>
    <n v="340"/>
    <n v="69"/>
    <n v="523"/>
    <n v="2977"/>
    <n v="-692"/>
    <n v="496.16666666666669"/>
    <n v="-115.33333333333331"/>
    <n v="-0.18860724993186151"/>
    <m/>
    <n v="-229"/>
    <n v="164"/>
    <n v="0"/>
    <n v="0"/>
    <n v="-65"/>
    <n v="-150"/>
    <n v="112"/>
    <n v="9"/>
    <n v="0"/>
    <n v="-29"/>
    <n v="-32"/>
    <n v="18"/>
    <n v="0"/>
    <n v="0"/>
    <n v="-14"/>
    <n v="-323"/>
    <n v="-53.833333333333336"/>
    <n v="127"/>
    <n v="5"/>
    <n v="766"/>
    <n v="1502"/>
    <n v="2400"/>
    <n v="15911"/>
    <n v="-106.00000000000009"/>
    <n v="-636"/>
    <n v="-150.10377358490555"/>
    <n v="-25.017295597484278"/>
    <m/>
    <n v="3699"/>
    <n v="723"/>
    <n v="0"/>
    <n v="316.07327946503204"/>
    <n v="-318"/>
    <n v="0"/>
    <n v="-139.01978266926722"/>
    <n v="0"/>
    <n v="539"/>
    <n v="539"/>
    <n v="1402"/>
    <n v="0"/>
    <n v="612.91111730286991"/>
    <n v="23693"/>
    <n v="23693"/>
    <n v="0.43716912789077739"/>
    <n v="5027.9646140986351"/>
    <n v="19.227398141868587"/>
    <n v="3.2045663569780976"/>
    <m/>
    <n v="7427.9646140986351"/>
    <n v="742.79646140986358"/>
    <n v="0.30949852558744317"/>
    <n v="2.8405218409555011"/>
    <n v="0.4734203068259169"/>
    <n v="9.1778202676864247"/>
    <n v="1.5296367112810707"/>
    <n v="-130.87637544303698"/>
    <n v="-128.03585360208149"/>
    <n v="-121.69855517535055"/>
    <n v="-21.812729240506179"/>
    <n v="-21.339308933680261"/>
    <n v="-20.283092529225108"/>
    <n v="4"/>
    <n v="-13.087637544303698"/>
    <n v="-3422.417217835417"/>
    <n v="-1.4260071740980904"/>
    <n v="1063"/>
    <m/>
  </r>
  <r>
    <s v="Continental"/>
    <s v="CLR"/>
    <x v="0"/>
    <n v="17.151"/>
    <n v="9.1470000000000002"/>
    <n v="0"/>
    <n v="12.0055"/>
    <n v="72.033000000000001"/>
    <n v="0"/>
    <n v="0"/>
    <n v="0"/>
    <n v="0"/>
    <n v="0"/>
    <n v="12.0055"/>
    <n v="72.033000000000001"/>
    <n v="1"/>
    <n v="0.23809920453125649"/>
    <n v="0.76190079546874356"/>
    <n v="0"/>
    <n v="24.388999999999999"/>
    <n v="0"/>
    <n v="53.988"/>
    <n v="200.322"/>
    <m/>
    <n v="33.387"/>
    <m/>
    <m/>
    <m/>
    <n v="7.4340000000000002"/>
    <n v="64.988"/>
    <n v="6.6000000000000003E-2"/>
    <n v="0"/>
    <n v="72.488"/>
    <n v="2.1339999999999999"/>
    <n v="12.744999999999999"/>
    <n v="5.5E-2"/>
    <n v="0"/>
    <n v="14.933999999999999"/>
    <n v="0"/>
    <n v="0"/>
    <n v="0"/>
    <n v="0"/>
    <n v="0"/>
    <n v="162.09199999999998"/>
    <n v="27.015333333333331"/>
    <n v="21.728999999999999"/>
    <n v="4.1660000000000004"/>
    <n v="181.64700000000002"/>
    <n v="316.33999999999997"/>
    <n v="523.88200000000006"/>
    <m/>
    <m/>
    <m/>
    <m/>
    <m/>
    <m/>
    <m/>
    <m/>
    <m/>
    <m/>
    <m/>
    <m/>
    <m/>
    <m/>
    <m/>
    <m/>
    <m/>
    <m/>
    <m/>
    <n v="0"/>
    <n v="0"/>
    <m/>
    <m/>
    <m/>
    <m/>
    <m/>
    <m/>
    <m/>
    <m/>
    <m/>
    <m/>
    <m/>
    <m/>
    <m/>
    <m/>
    <m/>
    <m/>
    <m/>
    <m/>
    <m/>
    <m/>
    <m/>
    <m/>
    <m/>
    <m/>
  </r>
  <r>
    <s v="Continental"/>
    <s v="CLR"/>
    <x v="1"/>
    <n v="21.606000000000002"/>
    <n v="10.022"/>
    <n v="0"/>
    <n v="13.623000000000001"/>
    <n v="81.738"/>
    <n v="0"/>
    <n v="0"/>
    <n v="0"/>
    <n v="0"/>
    <n v="0"/>
    <n v="13.623000000000001"/>
    <n v="81.738"/>
    <n v="1"/>
    <n v="0.26433237906481688"/>
    <n v="0.73566762093518312"/>
    <n v="0"/>
    <n v="25.852"/>
    <n v="0"/>
    <n v="164.602"/>
    <n v="319.714"/>
    <n v="119.392"/>
    <n v="53.285666666666671"/>
    <n v="19.898666666666671"/>
    <n v="0.59600043929273883"/>
    <m/>
    <n v="-16.178999999999998"/>
    <n v="167.28800000000001"/>
    <n v="1.361"/>
    <n v="0"/>
    <n v="152.47"/>
    <n v="-10.526999999999999"/>
    <n v="19.765000000000001"/>
    <n v="2.0030000000000001"/>
    <n v="0"/>
    <n v="11.241000000000001"/>
    <n v="0"/>
    <n v="0"/>
    <n v="0"/>
    <n v="0"/>
    <n v="0"/>
    <n v="219.916"/>
    <n v="36.652666666666669"/>
    <n v="199.62100000000001"/>
    <n v="74.662999999999997"/>
    <n v="234.57599999999999"/>
    <n v="468.56799999999998"/>
    <n v="977.428"/>
    <m/>
    <m/>
    <m/>
    <m/>
    <m/>
    <m/>
    <m/>
    <m/>
    <m/>
    <m/>
    <m/>
    <m/>
    <m/>
    <m/>
    <m/>
    <m/>
    <m/>
    <m/>
    <m/>
    <n v="0"/>
    <n v="0"/>
    <m/>
    <m/>
    <m/>
    <m/>
    <m/>
    <m/>
    <m/>
    <m/>
    <m/>
    <m/>
    <m/>
    <m/>
    <m/>
    <m/>
    <m/>
    <m/>
    <m/>
    <m/>
    <m/>
    <m/>
    <m/>
    <m/>
    <m/>
    <m/>
  </r>
  <r>
    <s v="Continental"/>
    <s v="CLR"/>
    <x v="2"/>
    <n v="21.606000000000002"/>
    <n v="10.022"/>
    <n v="0"/>
    <n v="13.623000000000001"/>
    <n v="81.738"/>
    <n v="0"/>
    <n v="0"/>
    <n v="0"/>
    <n v="0"/>
    <n v="0"/>
    <n v="13.623000000000001"/>
    <n v="81.738"/>
    <n v="1"/>
    <n v="0.26433237906481688"/>
    <n v="0.73566762093518312"/>
    <n v="0"/>
    <n v="88.01"/>
    <n v="0"/>
    <n v="334.298"/>
    <n v="862.35800000000006"/>
    <n v="542.64400000000001"/>
    <n v="143.72633333333334"/>
    <n v="90.440666666666672"/>
    <n v="1.6972794435026304"/>
    <m/>
    <n v="-2.4849999999999999"/>
    <n v="210.029"/>
    <n v="4.0000000000000001E-3"/>
    <n v="0"/>
    <n v="207.54799999999997"/>
    <n v="1.609"/>
    <n v="75.45"/>
    <n v="4.0000000000000001E-3"/>
    <n v="0"/>
    <n v="77.063000000000002"/>
    <n v="0"/>
    <n v="0"/>
    <n v="0"/>
    <n v="0"/>
    <n v="0"/>
    <n v="669.92600000000004"/>
    <n v="111.65433333333334"/>
    <n v="73.272999999999996"/>
    <n v="1.2170000000000001"/>
    <n v="98.072000000000003"/>
    <n v="259.548"/>
    <n v="432.11"/>
    <n v="1933.42"/>
    <n v="175.32233333333335"/>
    <n v="1051.934"/>
    <n v="11.027802124467884"/>
    <n v="1.8379670207446477"/>
    <m/>
    <n v="93.242000000000004"/>
    <n v="41.094000000000001"/>
    <m/>
    <n v="39.978945777729635"/>
    <n v="0.14599999999999999"/>
    <m/>
    <n v="0.14203840179949689"/>
    <m/>
    <n v="45.645000000000003"/>
    <n v="45.645000000000003"/>
    <n v="20.544609999999999"/>
    <m/>
    <n v="19.987147739684673"/>
    <n v="610.69799999999998"/>
    <n v="627.73099999999999"/>
    <n v="0.97286576574997885"/>
    <n v="198.9951319192138"/>
    <n v="14.607291486399015"/>
    <n v="2.4345485810665028"/>
    <m/>
    <n v="631.10513191921382"/>
    <n v="63.110513191921385"/>
    <n v="0.14605196175029828"/>
    <n v="4.6326442921472051"/>
    <n v="0.77210738202453433"/>
    <n v="31.719151435073037"/>
    <n v="5.2865252391788395"/>
    <n v="25.6350936108669"/>
    <n v="30.267737903014105"/>
    <n v="57.354245045939933"/>
    <n v="4.2725156018111505"/>
    <n v="5.0446229838356853"/>
    <n v="9.5590408409899901"/>
    <n v="4"/>
    <n v="2.5635093610866901"/>
    <n v="34.922688026083982"/>
    <n v="8.0818976709828474E-2"/>
    <n v="22.9"/>
    <m/>
  </r>
  <r>
    <s v="Continental"/>
    <s v="CLR"/>
    <x v="3"/>
    <n v="23.943000000000001"/>
    <n v="11.82"/>
    <n v="0"/>
    <n v="15.810500000000001"/>
    <n v="94.863"/>
    <n v="0"/>
    <n v="0"/>
    <n v="0"/>
    <n v="0"/>
    <n v="0"/>
    <n v="15.810500000000001"/>
    <n v="94.863"/>
    <n v="1"/>
    <n v="0.25239555991271623"/>
    <n v="0.74760444008728377"/>
    <n v="0"/>
    <n v="123.512"/>
    <n v="0"/>
    <n v="604.86900000000003"/>
    <n v="1345.941"/>
    <n v="483.58299999999997"/>
    <n v="224.32350000000002"/>
    <n v="80.597166666666681"/>
    <n v="0.56076826561590432"/>
    <m/>
    <n v="79.284999999999997"/>
    <n v="280.14600000000002"/>
    <n v="0"/>
    <n v="0"/>
    <n v="359.43100000000004"/>
    <n v="14.414"/>
    <n v="48.542000000000002"/>
    <n v="0.36799999999999999"/>
    <n v="0"/>
    <n v="63.324000000000005"/>
    <n v="0"/>
    <n v="0"/>
    <n v="0"/>
    <n v="0"/>
    <n v="0"/>
    <n v="739.375"/>
    <n v="123.22916666666669"/>
    <n v="340.06400000000002"/>
    <n v="7.3380000000000001"/>
    <n v="288.57499999999999"/>
    <n v="560.851"/>
    <n v="1196.828"/>
    <n v="2606.366"/>
    <n v="271.5361666666667"/>
    <n v="1629.2170000000001"/>
    <n v="9.5985961354442022"/>
    <n v="1.599766022574034"/>
    <m/>
    <n v="93.203000000000003"/>
    <n v="49.09"/>
    <m/>
    <n v="48.011700189827678"/>
    <n v="10.879"/>
    <m/>
    <n v="10.640034352518542"/>
    <m/>
    <n v="76.659000000000006"/>
    <n v="76.659000000000006"/>
    <n v="70.951176250000003"/>
    <m/>
    <n v="69.392678798749685"/>
    <n v="948.524"/>
    <n v="969.827"/>
    <n v="0.9780342267229104"/>
    <n v="297.90641334109591"/>
    <n v="18.842314496132058"/>
    <n v="3.1403857493553433"/>
    <m/>
    <n v="1494.7344133410959"/>
    <n v="149.47344133410959"/>
    <n v="0.12489133052878909"/>
    <n v="9.4540616257619678"/>
    <n v="1.5756769376269946"/>
    <n v="75.698301761487613"/>
    <n v="12.616383626914603"/>
    <n v="28.440910631576259"/>
    <n v="37.894972257338225"/>
    <n v="104.13921239306387"/>
    <n v="4.7401517719293773"/>
    <n v="6.3158287095563717"/>
    <n v="17.356535398843981"/>
    <n v="4"/>
    <n v="2.8440910631576259"/>
    <n v="44.966501754053645"/>
    <n v="3.7571398525146175E-2"/>
    <n v="92.8"/>
    <m/>
  </r>
  <r>
    <s v="Continental"/>
    <s v="CLR"/>
    <x v="4"/>
    <n v="36.670999999999999"/>
    <n v="16.469000000000001"/>
    <n v="0"/>
    <n v="22.580833333333334"/>
    <n v="135.48500000000001"/>
    <n v="0"/>
    <n v="0"/>
    <n v="0"/>
    <n v="0"/>
    <n v="0"/>
    <n v="22.580833333333334"/>
    <n v="135.48500000000001"/>
    <n v="1"/>
    <n v="0.27066464922316119"/>
    <n v="0.72933535077683875"/>
    <n v="0"/>
    <n v="181.10900000000001"/>
    <n v="0"/>
    <n v="732.56700000000001"/>
    <n v="1819.221"/>
    <n v="473.28"/>
    <n v="303.20350000000002"/>
    <n v="78.88"/>
    <n v="0.35163502709256939"/>
    <m/>
    <n v="-158.21899999999999"/>
    <n v="447.09800000000001"/>
    <n v="2.056"/>
    <n v="0"/>
    <n v="290.935"/>
    <n v="28.606999999999999"/>
    <n v="87.465000000000003"/>
    <n v="1.746"/>
    <n v="0"/>
    <n v="117.818"/>
    <n v="0"/>
    <n v="0"/>
    <n v="0"/>
    <n v="0"/>
    <n v="0"/>
    <n v="997.84300000000007"/>
    <n v="166.30716666666666"/>
    <n v="183.24700000000001"/>
    <n v="65.314999999999998"/>
    <n v="733.09699999999998"/>
    <n v="1174.4359999999999"/>
    <n v="2156.0949999999998"/>
    <n v="3785.0329999999999"/>
    <n v="401.19066666666669"/>
    <n v="2407.1440000000002"/>
    <n v="9.4344991408906154"/>
    <n v="1.5724165234817691"/>
    <m/>
    <n v="138.23599999999999"/>
    <n v="72.816999999999993"/>
    <m/>
    <n v="71.411713107454403"/>
    <n v="16.03"/>
    <m/>
    <n v="15.720638877082196"/>
    <m/>
    <n v="144.81"/>
    <n v="144.81"/>
    <n v="69.38866625"/>
    <m/>
    <n v="68.049542375460462"/>
    <n v="1647.4190000000001"/>
    <n v="1679.8380000000002"/>
    <n v="0.98070111522658732"/>
    <n v="438.22789435999709"/>
    <n v="19.407073596043713"/>
    <n v="3.2345122660072851"/>
    <m/>
    <n v="2594.322894359997"/>
    <n v="259.43228943599973"/>
    <n v="0.12032507354082253"/>
    <n v="11.489048504380547"/>
    <n v="1.9148414173967576"/>
    <n v="95.483411447761725"/>
    <n v="15.913901907960287"/>
    <n v="28.841572736934328"/>
    <n v="40.330621241314873"/>
    <n v="124.32498418469605"/>
    <n v="4.8069287894890547"/>
    <n v="6.7217702068858127"/>
    <n v="20.720830697449344"/>
    <n v="4"/>
    <n v="2.8841572736934329"/>
    <n v="65.126674704392457"/>
    <n v="3.0205846544049526E-2"/>
    <n v="128.1"/>
    <m/>
  </r>
  <r>
    <s v="Continental"/>
    <s v="CLR"/>
    <x v="5"/>
    <n v="63.875"/>
    <n v="25.07"/>
    <n v="0"/>
    <n v="35.715833333333336"/>
    <n v="214.29500000000002"/>
    <n v="0"/>
    <n v="0"/>
    <n v="0"/>
    <n v="0"/>
    <n v="0"/>
    <n v="35.715833333333336"/>
    <n v="214.29500000000002"/>
    <n v="1"/>
    <n v="0.29807041694859887"/>
    <n v="0.70192958305140107"/>
    <n v="0"/>
    <n v="334.29300000000001"/>
    <n v="0"/>
    <n v="795.58500000000004"/>
    <n v="2801.3429999999998"/>
    <n v="982.12199999999984"/>
    <n v="466.89049999999997"/>
    <n v="163.68699999999995"/>
    <n v="0.5398585438492628"/>
    <m/>
    <n v="-174.73599999999999"/>
    <n v="400.84800000000001"/>
    <n v="89.061000000000007"/>
    <n v="0"/>
    <n v="315.173"/>
    <n v="33.271999999999998"/>
    <n v="166.84399999999999"/>
    <n v="67.149000000000001"/>
    <n v="0"/>
    <n v="267.26499999999999"/>
    <n v="0"/>
    <n v="0"/>
    <n v="0"/>
    <n v="0"/>
    <n v="0"/>
    <n v="1918.7629999999999"/>
    <n v="319.79383333333334"/>
    <n v="745.601"/>
    <n v="738.41499999999996"/>
    <n v="854.38100000000009"/>
    <n v="1974.66"/>
    <n v="4313.0569999999998"/>
    <n v="7665.98"/>
    <n v="609.33016666666663"/>
    <n v="3655.9809999999998"/>
    <n v="12.580995360752695"/>
    <n v="2.0968325601254492"/>
    <m/>
    <n v="195.44"/>
    <n v="121.735"/>
    <m/>
    <n v="119.76836765827139"/>
    <n v="0.82899999999999996"/>
    <m/>
    <n v="0.81560748173250897"/>
    <m/>
    <n v="228.43799999999999"/>
    <n v="228.43799999999999"/>
    <n v="177.1678919"/>
    <m/>
    <n v="174.30573963379538"/>
    <n v="2379.433"/>
    <n v="2418.5039999999999"/>
    <n v="0.98384497193306275"/>
    <n v="718.7677147737993"/>
    <n v="20.124623946628692"/>
    <n v="3.3541039911047821"/>
    <m/>
    <n v="5031.8247147737993"/>
    <n v="503.18247147737998"/>
    <n v="0.11666492501197642"/>
    <n v="14.088498699756316"/>
    <n v="2.3480831166260527"/>
    <n v="120.76036305093444"/>
    <n v="20.12672717515574"/>
    <n v="32.705619307381383"/>
    <n v="46.794118007137698"/>
    <n v="153.46598235831584"/>
    <n v="5.4509365512302317"/>
    <n v="7.7990196678562844"/>
    <n v="25.577663726385971"/>
    <n v="4"/>
    <n v="3.2705619307381384"/>
    <n v="116.81084482458823"/>
    <n v="2.7083074678722827E-2"/>
    <n v="92.7"/>
    <m/>
  </r>
  <r>
    <s v="Continental"/>
    <s v="CLR"/>
    <x v="6"/>
    <n v="87.73"/>
    <n v="34.988999999999997"/>
    <n v="0"/>
    <n v="49.610666666666667"/>
    <n v="297.66399999999999"/>
    <n v="0"/>
    <n v="0"/>
    <n v="0"/>
    <n v="0"/>
    <n v="0"/>
    <n v="49.610666666666667"/>
    <n v="297.66399999999999"/>
    <n v="1"/>
    <n v="0.2947282842399484"/>
    <n v="0.70527171576005154"/>
    <n v="0"/>
    <n v="459.15800000000002"/>
    <n v="0"/>
    <n v="1309.0509999999999"/>
    <n v="4063.9990000000003"/>
    <n v="1262.6560000000004"/>
    <n v="677.33316666666667"/>
    <n v="210.4426666666667"/>
    <n v="0.45073238086160827"/>
    <m/>
    <n v="-241.62299999999999"/>
    <n v="1065.8699999999999"/>
    <n v="0.41899999999999998"/>
    <n v="0"/>
    <n v="824.66599999999983"/>
    <n v="-55.783000000000001"/>
    <n v="267.00900000000001"/>
    <n v="0.38800000000000001"/>
    <n v="0"/>
    <n v="211.614"/>
    <n v="0"/>
    <n v="0"/>
    <n v="0"/>
    <n v="0"/>
    <n v="0"/>
    <n v="2094.35"/>
    <n v="349.05833333333328"/>
    <n v="546.88099999999997"/>
    <n v="16.603999999999999"/>
    <n v="685.9670000000001"/>
    <n v="2543.203"/>
    <n v="3792.6550000000002"/>
    <n v="10261.807000000001"/>
    <n v="835.15933333333328"/>
    <n v="5010.9560000000001"/>
    <n v="12.287244589655149"/>
    <n v="2.0478740982758579"/>
    <m/>
    <n v="282.197"/>
    <n v="144.37899999999999"/>
    <m/>
    <n v="142.79039199199539"/>
    <n v="29.016999999999999"/>
    <m/>
    <n v="28.697724769057345"/>
    <m/>
    <n v="298.78699999999998"/>
    <n v="298.78699999999998"/>
    <n v="242.74997675"/>
    <m/>
    <n v="240.07898888467346"/>
    <n v="3606.7739999999999"/>
    <n v="3646.9009999999998"/>
    <n v="0.98899695933615972"/>
    <n v="992.55110564572624"/>
    <n v="20.00680846146782"/>
    <n v="3.3344680769113038"/>
    <m/>
    <n v="4785.206105645726"/>
    <n v="478.52061056457262"/>
    <n v="0.12617035047073161"/>
    <n v="9.6455186498449113"/>
    <n v="1.6075864416408185"/>
    <n v="76.448378036981296"/>
    <n v="12.741396339496884"/>
    <n v="32.294053051122972"/>
    <n v="41.939571700967882"/>
    <n v="108.74243108810427"/>
    <n v="5.3823421751871621"/>
    <n v="6.9899286168279806"/>
    <n v="18.123738514684046"/>
    <n v="4"/>
    <n v="3.2294053051122971"/>
    <n v="160.21295012349114"/>
    <n v="4.22429538472366E-2"/>
    <n v="152.77500000000001"/>
    <m/>
  </r>
  <r>
    <s v="Continental"/>
    <s v="CLR"/>
    <x v="7"/>
    <n v="114.295"/>
    <n v="44.53"/>
    <n v="0"/>
    <n v="63.579166666666666"/>
    <n v="381.47500000000002"/>
    <n v="0"/>
    <n v="0"/>
    <n v="0"/>
    <n v="0"/>
    <n v="0"/>
    <n v="63.579166666666666"/>
    <n v="381.47500000000002"/>
    <n v="1"/>
    <n v="0.29961334294514713"/>
    <n v="0.70038665705485292"/>
    <n v="0"/>
    <n v="524.22299999999996"/>
    <n v="0"/>
    <n v="1946.335"/>
    <n v="5091.6729999999998"/>
    <n v="1027.6739999999995"/>
    <n v="848.61216666666655"/>
    <n v="171.27899999999988"/>
    <n v="0.25287260159266756"/>
    <m/>
    <n v="-244.78299999999999"/>
    <n v="1206.569"/>
    <n v="4.4980000000000002"/>
    <n v="0"/>
    <n v="966.28399999999999"/>
    <n v="-67.150999999999996"/>
    <n v="239.52600000000001"/>
    <n v="0.85"/>
    <n v="0"/>
    <n v="173.22499999999999"/>
    <n v="0"/>
    <n v="0"/>
    <n v="0"/>
    <n v="0"/>
    <n v="0"/>
    <n v="2005.634"/>
    <n v="334.27233333333334"/>
    <n v="409.529"/>
    <n v="48.917000000000002"/>
    <n v="862.40599999999995"/>
    <n v="3651.348"/>
    <n v="4972.2"/>
    <n v="13077.912"/>
    <n v="1003.1244999999999"/>
    <n v="6018.7469999999994"/>
    <n v="13.037177339403037"/>
    <n v="2.172862889900506"/>
    <m/>
    <n v="352.47199999999998"/>
    <n v="184.655"/>
    <m/>
    <n v="182.96436241987297"/>
    <n v="53.457000000000001"/>
    <m/>
    <n v="52.96756611994882"/>
    <m/>
    <n v="349.76"/>
    <n v="349.76"/>
    <n v="262.65889241666667"/>
    <m/>
    <n v="260.25407806409481"/>
    <n v="4203.0219999999999"/>
    <n v="4241.8590000000004"/>
    <n v="0.99084434442540392"/>
    <n v="1198.4180066039166"/>
    <n v="18.849224823706663"/>
    <n v="3.1415374706177772"/>
    <m/>
    <n v="6170.618006603916"/>
    <n v="617.06180066039167"/>
    <n v="0.12410236930541646"/>
    <n v="9.7054087527684647"/>
    <n v="1.6175681254614107"/>
    <n v="78.20486270397798"/>
    <n v="13.034143783996329"/>
    <n v="31.8864021631097"/>
    <n v="41.591810915878163"/>
    <n v="110.09126486708769"/>
    <n v="5.3144003605182828"/>
    <n v="6.9319684859796933"/>
    <n v="18.348544144514612"/>
    <n v="4"/>
    <n v="3.1886402163109699"/>
    <n v="202.73108775287122"/>
    <n v="4.0772914957739277E-2"/>
    <n v="93.421000000000006"/>
    <m/>
  </r>
  <r>
    <s v="Continental"/>
    <s v="CLR"/>
    <x v="8"/>
    <n v="164.45400000000001"/>
    <n v="53.517000000000003"/>
    <n v="0"/>
    <n v="80.926000000000002"/>
    <n v="485.55600000000004"/>
    <n v="0"/>
    <n v="0"/>
    <n v="0"/>
    <n v="0"/>
    <n v="0"/>
    <n v="80.926000000000002"/>
    <n v="485.55600000000004"/>
    <n v="1"/>
    <n v="0.33869213849689839"/>
    <n v="0.66130786150310161"/>
    <n v="0"/>
    <n v="373.71600000000001"/>
    <n v="0"/>
    <n v="1961.443"/>
    <n v="4203.7390000000005"/>
    <n v="-887.93399999999929"/>
    <n v="700.62316666666675"/>
    <n v="-147.98899999999981"/>
    <n v="-0.17438943938465784"/>
    <m/>
    <n v="-302.14299999999997"/>
    <n v="710.45299999999997"/>
    <n v="0"/>
    <n v="0"/>
    <n v="408.31"/>
    <n v="-246.84"/>
    <n v="134.76400000000001"/>
    <n v="0"/>
    <n v="0"/>
    <n v="-112.07599999999999"/>
    <n v="0"/>
    <n v="0"/>
    <n v="0"/>
    <n v="0"/>
    <n v="0"/>
    <n v="-264.1459999999999"/>
    <n v="-44.024333333333331"/>
    <n v="168.49199999999999"/>
    <n v="0.55700000000000005"/>
    <n v="238.22299999999998"/>
    <n v="2129.0300000000002"/>
    <n v="2536.3020000000001"/>
    <n v="11301.156999999999"/>
    <n v="639.30633333333333"/>
    <n v="3835.8380000000006"/>
    <n v="17.677217338167043"/>
    <n v="2.9462028896945069"/>
    <m/>
    <n v="348.89699999999999"/>
    <n v="189.846"/>
    <m/>
    <n v="187.16587586874422"/>
    <n v="0.03"/>
    <m/>
    <n v="2.9576479230862523E-2"/>
    <m/>
    <n v="200.637"/>
    <n v="200.637"/>
    <n v="305.54302235"/>
    <m/>
    <n v="301.22956182232463"/>
    <n v="2552.5309999999999"/>
    <n v="2589.0819999999999"/>
    <n v="0.98588264102875078"/>
    <n v="1037.9590141702997"/>
    <n v="12.826026421302174"/>
    <n v="2.1376710702170287"/>
    <m/>
    <n v="3574.2610141702999"/>
    <n v="357.42610141703"/>
    <n v="0.1409241097538976"/>
    <n v="4.4167029312832708"/>
    <n v="0.73611715521387844"/>
    <n v="31.341002891530536"/>
    <n v="5.2235004819217554"/>
    <n v="30.503243759469218"/>
    <n v="34.919946690752489"/>
    <n v="61.84424665099975"/>
    <n v="5.0838739599115357"/>
    <n v="5.819991115125414"/>
    <n v="10.307374441833291"/>
    <n v="4"/>
    <n v="3.0503243759469219"/>
    <n v="246.85055044788061"/>
    <n v="9.7326954931976004E-2"/>
    <n v="59.396999999999998"/>
    <m/>
  </r>
  <r>
    <s v="Continental"/>
    <s v="CLR"/>
    <x v="9"/>
    <n v="195.24"/>
    <n v="46.85"/>
    <n v="0"/>
    <n v="79.39"/>
    <n v="476.34000000000003"/>
    <n v="0"/>
    <n v="0"/>
    <n v="0"/>
    <n v="0"/>
    <n v="0"/>
    <n v="79.39"/>
    <n v="476.34000000000003"/>
    <n v="1"/>
    <n v="0.40987529915606497"/>
    <n v="0.59012470084393498"/>
    <n v="0"/>
    <n v="353.01799999999997"/>
    <n v="0"/>
    <n v="2419.1979999999999"/>
    <n v="4537.3059999999996"/>
    <n v="333.5669999999991"/>
    <n v="756.21766666666667"/>
    <n v="55.594499999999925"/>
    <n v="7.9350073827133299E-2"/>
    <m/>
    <n v="-63.057000000000002"/>
    <n v="911.06200000000001"/>
    <n v="0"/>
    <n v="0"/>
    <n v="848.005"/>
    <n v="-99.965999999999994"/>
    <n v="97.587000000000003"/>
    <n v="0"/>
    <n v="0"/>
    <n v="-2.3789999999999907"/>
    <n v="0"/>
    <n v="0"/>
    <n v="0"/>
    <n v="0"/>
    <n v="0"/>
    <n v="833.73099999999999"/>
    <n v="138.95516666666668"/>
    <n v="149.96199999999999"/>
    <n v="5.008"/>
    <n v="182.35499999999999"/>
    <n v="767.14800000000002"/>
    <n v="1104.473"/>
    <n v="8612.9750000000004"/>
    <n v="429.20316666666668"/>
    <n v="2575.2190000000001"/>
    <n v="20.067361261314087"/>
    <n v="3.3445602102190146"/>
    <m/>
    <n v="289.28899999999999"/>
    <n v="169.58"/>
    <m/>
    <n v="169.07452276270351"/>
    <n v="2E-3"/>
    <m/>
    <n v="1.9940384805130734E-3"/>
    <m/>
    <n v="142.38800000000001"/>
    <n v="142.38800000000001"/>
    <n v="310"/>
    <m/>
    <n v="309.07596447952642"/>
    <n v="2020.9580000000001"/>
    <n v="2027"/>
    <n v="0.99701924025653677"/>
    <n v="909.82948128071052"/>
    <n v="11.460252944712312"/>
    <n v="1.9100421574520521"/>
    <m/>
    <n v="2014.3024812807105"/>
    <n v="201.43024812807107"/>
    <n v="0.18237679701366269"/>
    <n v="2.537224437940182"/>
    <n v="0.42287073965669703"/>
    <n v="13.911991434689506"/>
    <n v="2.3186652391149178"/>
    <n v="31.527614206026399"/>
    <n v="34.064838643966581"/>
    <n v="45.439605640715904"/>
    <n v="5.2546023676710671"/>
    <n v="5.6774731073277644"/>
    <n v="7.5732676067859845"/>
    <n v="4"/>
    <n v="3.1527614206026398"/>
    <n v="250.29772918164358"/>
    <n v="0.22662186326116038"/>
    <n v="34.851999999999997"/>
    <m/>
  </r>
  <r>
    <s v="Devon Energy"/>
    <s v="DVN"/>
    <x v="0"/>
    <n v="635"/>
    <n v="19"/>
    <n v="22"/>
    <n v="146.83333333333331"/>
    <n v="881"/>
    <n v="227"/>
    <n v="16"/>
    <n v="4"/>
    <n v="57.833333333333336"/>
    <n v="347"/>
    <n v="204.66666666666666"/>
    <n v="1228"/>
    <n v="0.71742671009771986"/>
    <n v="0.72077185017026102"/>
    <n v="0.12939841089670831"/>
    <n v="0.14982973893303067"/>
    <n v="22"/>
    <n v="38"/>
    <n v="1400"/>
    <n v="1760"/>
    <m/>
    <n v="293.33333333333337"/>
    <m/>
    <m/>
    <m/>
    <n v="293"/>
    <n v="1133"/>
    <n v="10"/>
    <n v="0"/>
    <n v="1436"/>
    <n v="10"/>
    <n v="9"/>
    <n v="1"/>
    <n v="0"/>
    <n v="20"/>
    <n v="26"/>
    <n v="45"/>
    <n v="0"/>
    <n v="0"/>
    <n v="71"/>
    <n v="1982"/>
    <n v="330.33333333333337"/>
    <n v="156"/>
    <n v="3"/>
    <n v="569"/>
    <n v="3542"/>
    <n v="4270"/>
    <m/>
    <m/>
    <m/>
    <m/>
    <m/>
    <s v="Costs and adds include oil. Sales excluded. "/>
    <m/>
    <m/>
    <m/>
    <m/>
    <m/>
    <m/>
    <m/>
    <m/>
    <m/>
    <m/>
    <m/>
    <m/>
    <m/>
    <n v="0"/>
    <n v="0"/>
    <m/>
    <m/>
    <m/>
    <m/>
    <m/>
    <m/>
    <m/>
    <m/>
    <m/>
    <m/>
    <m/>
    <m/>
    <m/>
    <m/>
    <m/>
    <m/>
    <m/>
    <m/>
    <n v="4"/>
    <m/>
    <m/>
    <m/>
    <m/>
    <m/>
  </r>
  <r>
    <s v="Devon Energy"/>
    <s v="DVN"/>
    <x v="1"/>
    <n v="726"/>
    <n v="17"/>
    <n v="24"/>
    <n v="162"/>
    <n v="972"/>
    <n v="212"/>
    <n v="22"/>
    <n v="4"/>
    <n v="61.333333333333336"/>
    <n v="368"/>
    <n v="223.33333333333334"/>
    <n v="1340"/>
    <n v="0.72537313432835826"/>
    <n v="0.74691358024691357"/>
    <n v="0.10493827160493827"/>
    <n v="0.14814814814814814"/>
    <n v="34"/>
    <n v="56"/>
    <n v="1688"/>
    <n v="2228"/>
    <n v="468"/>
    <n v="371.33333333333331"/>
    <n v="77.999999999999943"/>
    <n v="0.26590909090909071"/>
    <m/>
    <n v="-263"/>
    <n v="1966"/>
    <n v="250"/>
    <n v="0"/>
    <n v="1953"/>
    <n v="-15"/>
    <n v="12"/>
    <n v="18"/>
    <n v="0"/>
    <n v="15"/>
    <n v="-12"/>
    <n v="65"/>
    <n v="6"/>
    <n v="0"/>
    <n v="59"/>
    <n v="2397"/>
    <n v="399.5"/>
    <n v="1411"/>
    <n v="822"/>
    <n v="844"/>
    <n v="4733"/>
    <n v="7810"/>
    <m/>
    <m/>
    <m/>
    <m/>
    <m/>
    <s v="Costs and adds include oil. Sales excluded. "/>
    <m/>
    <m/>
    <m/>
    <m/>
    <m/>
    <m/>
    <m/>
    <m/>
    <m/>
    <m/>
    <m/>
    <m/>
    <m/>
    <n v="0"/>
    <n v="0"/>
    <m/>
    <m/>
    <m/>
    <m/>
    <m/>
    <m/>
    <m/>
    <m/>
    <m/>
    <m/>
    <m/>
    <m/>
    <m/>
    <m/>
    <m/>
    <m/>
    <m/>
    <m/>
    <n v="4"/>
    <m/>
    <m/>
    <m/>
    <m/>
    <m/>
  </r>
  <r>
    <s v="Devon Energy"/>
    <s v="DVN"/>
    <x v="2"/>
    <n v="743"/>
    <n v="17"/>
    <n v="26"/>
    <n v="166.83333333333331"/>
    <n v="1001"/>
    <n v="223"/>
    <n v="25"/>
    <n v="4"/>
    <n v="66.166666666666657"/>
    <n v="397"/>
    <n v="232.99999999999997"/>
    <n v="1398"/>
    <n v="0.71602288984263229"/>
    <n v="0.74225774225774221"/>
    <n v="0.1018981018981019"/>
    <n v="0.15584415584415587"/>
    <n v="32"/>
    <n v="93"/>
    <n v="1837"/>
    <n v="2587"/>
    <n v="359"/>
    <n v="431.16666666666669"/>
    <n v="59.833333333333371"/>
    <n v="0.16113105924596061"/>
    <m/>
    <n v="-608"/>
    <n v="1451"/>
    <n v="1"/>
    <n v="0"/>
    <n v="844"/>
    <n v="12"/>
    <n v="11"/>
    <n v="0"/>
    <n v="0"/>
    <n v="23"/>
    <n v="26"/>
    <n v="70"/>
    <n v="0"/>
    <n v="0"/>
    <n v="96"/>
    <n v="1558"/>
    <n v="259.66666666666663"/>
    <n v="63"/>
    <n v="17"/>
    <n v="382"/>
    <n v="2548"/>
    <n v="3010"/>
    <n v="15090"/>
    <n v="989.5"/>
    <n v="5937"/>
    <n v="15.250126326427489"/>
    <n v="2.5416877210712481"/>
    <s v="Costs and adds include oil. Sales excluded. "/>
    <n v="997"/>
    <n v="0"/>
    <n v="145"/>
    <n v="145"/>
    <n v="68"/>
    <n v="0"/>
    <n v="38.901877347293407"/>
    <n v="0"/>
    <n v="258"/>
    <n v="258"/>
    <n v="437"/>
    <n v="0"/>
    <n v="250.00177059951793"/>
    <n v="6097"/>
    <n v="7631"/>
    <n v="0.57208643157784422"/>
    <n v="1688.9036479468114"/>
    <n v="10.123298589091778"/>
    <n v="1.687216431515296"/>
    <s v="Excludes asset retirement obligations and reduction of carrying value of oil and gas properties.See note 6 income taxes"/>
    <n v="4698.9036479468114"/>
    <n v="469.89036479468115"/>
    <n v="0.15610975574574124"/>
    <n v="2.8165256631049824"/>
    <n v="0.46942094385083033"/>
    <n v="18.041958041958043"/>
    <n v="3.0069930069930071"/>
    <n v="25.373424915519266"/>
    <n v="28.189950578624249"/>
    <n v="43.415382957477306"/>
    <n v="4.2289041525865443"/>
    <n v="4.6983250964373742"/>
    <n v="7.2358971595795509"/>
    <n v="4"/>
    <n v="2.5373424915519265"/>
    <n v="423.31330567391302"/>
    <n v="0.14063564972555251"/>
    <m/>
    <n v="3434"/>
  </r>
  <r>
    <s v="Devon Energy"/>
    <s v="DVN"/>
    <x v="3"/>
    <n v="716"/>
    <n v="16"/>
    <n v="28"/>
    <n v="163.33333333333331"/>
    <n v="980"/>
    <n v="214"/>
    <n v="25"/>
    <n v="4"/>
    <n v="64.666666666666657"/>
    <n v="388"/>
    <n v="227.99999999999997"/>
    <n v="1368"/>
    <n v="0.716374269005848"/>
    <n v="0.73061224489795917"/>
    <n v="9.7959183673469397E-2"/>
    <n v="0.17142857142857146"/>
    <n v="17"/>
    <n v="96"/>
    <n v="1785"/>
    <n v="2463"/>
    <n v="-124"/>
    <n v="410.5"/>
    <n v="-20.666666666666686"/>
    <n v="-4.7931967529957521E-2"/>
    <m/>
    <n v="530"/>
    <n v="1095"/>
    <n v="12"/>
    <n v="0"/>
    <n v="1637"/>
    <n v="9"/>
    <n v="20"/>
    <n v="0"/>
    <n v="0"/>
    <n v="29"/>
    <n v="30"/>
    <n v="68"/>
    <n v="0"/>
    <n v="0"/>
    <n v="98"/>
    <n v="2399"/>
    <n v="399.83333333333331"/>
    <n v="594"/>
    <n v="29"/>
    <n v="428"/>
    <n v="3423"/>
    <n v="4474"/>
    <n v="15294"/>
    <n v="1059"/>
    <n v="6354"/>
    <n v="14.441926345609065"/>
    <n v="2.4069877242681774"/>
    <s v="Costs and adds include oil. Sales excluded. "/>
    <n v="892"/>
    <n v="0"/>
    <n v="133"/>
    <n v="133"/>
    <n v="955"/>
    <n v="0"/>
    <n v="544.22236763632895"/>
    <n v="0"/>
    <n v="319"/>
    <n v="319"/>
    <n v="408"/>
    <n v="0"/>
    <n v="232.50547224672485"/>
    <n v="7262"/>
    <n v="9129"/>
    <n v="0.56986635354589421"/>
    <n v="2120.727839883054"/>
    <n v="12.984047999284005"/>
    <n v="2.1640079998806674"/>
    <s v="Excludes asset retirement obligations and reduction of carrying value of oil and gas properties.See note 6 income taxes"/>
    <n v="6594.727839883054"/>
    <n v="659.47278398830542"/>
    <n v="0.14740115869206649"/>
    <n v="4.0375884733977889"/>
    <n v="0.67293141223296471"/>
    <n v="27.391836734693882"/>
    <n v="4.5653061224489795"/>
    <n v="27.425974344893071"/>
    <n v="31.46356281829086"/>
    <n v="54.817811079586953"/>
    <n v="4.5709957241488448"/>
    <n v="5.2439271363818092"/>
    <n v="9.1363018465978243"/>
    <n v="4"/>
    <n v="2.7425974344893072"/>
    <n v="447.95758096658676"/>
    <n v="0.10012462694827598"/>
    <m/>
    <n v="4078"/>
  </r>
  <r>
    <s v="Devon Energy"/>
    <s v="DVN"/>
    <x v="4"/>
    <n v="740"/>
    <n v="17"/>
    <n v="33"/>
    <n v="173.33333333333331"/>
    <n v="1040"/>
    <n v="213"/>
    <n v="28"/>
    <n v="4"/>
    <n v="67.5"/>
    <n v="405"/>
    <n v="240.83333333333331"/>
    <n v="1445"/>
    <n v="0.7197231833910035"/>
    <n v="0.71153846153846156"/>
    <n v="9.8076923076923089E-2"/>
    <n v="0.1903846153846154"/>
    <n v="22"/>
    <n v="123"/>
    <n v="1550"/>
    <n v="2420"/>
    <n v="-43"/>
    <n v="403.33333333333331"/>
    <n v="-7.1666666666666856"/>
    <n v="-1.7458384084449902E-2"/>
    <m/>
    <n v="-244"/>
    <n v="1410"/>
    <n v="16"/>
    <n v="0"/>
    <n v="1182"/>
    <n v="1"/>
    <n v="36"/>
    <n v="0"/>
    <n v="0"/>
    <n v="37"/>
    <n v="5"/>
    <n v="102"/>
    <n v="2"/>
    <n v="0"/>
    <n v="109"/>
    <n v="2058"/>
    <n v="343"/>
    <n v="851"/>
    <n v="34"/>
    <n v="272"/>
    <n v="3748"/>
    <n v="4905"/>
    <n v="12389"/>
    <n v="1002.5"/>
    <n v="6015"/>
    <n v="12.358104738154614"/>
    <n v="2.059684123025769"/>
    <s v="Costs and adds include oil. Sales excluded. "/>
    <n v="925"/>
    <n v="0"/>
    <n v="132"/>
    <n v="132"/>
    <n v="-383"/>
    <n v="0"/>
    <n v="-216.96921974349132"/>
    <n v="0"/>
    <n v="357"/>
    <n v="357"/>
    <n v="414"/>
    <n v="0"/>
    <n v="234.53069705954414"/>
    <n v="8315"/>
    <n v="10564"/>
    <n v="0.56649926825976848"/>
    <n v="1431.5614773160528"/>
    <n v="8.2590085229772292"/>
    <n v="1.3765014204962045"/>
    <s v="Excludes asset retirement obligations and reduction of carrying value of oil and gas properties.See note 6 income taxes"/>
    <n v="6336.5614773160523"/>
    <n v="633.6561477316053"/>
    <n v="0.12918575896668813"/>
    <n v="3.6557085446054156"/>
    <n v="0.60928475743423582"/>
    <n v="28.298076923076927"/>
    <n v="4.7163461538461542"/>
    <n v="20.617113261131841"/>
    <n v="24.272821805737259"/>
    <n v="48.915190184208768"/>
    <n v="3.4361855435219733"/>
    <n v="4.0454703009562092"/>
    <n v="8.1525316973681274"/>
    <n v="4"/>
    <n v="2.0617113261131843"/>
    <n v="357.36329652628524"/>
    <n v="7.2856941187825736E-2"/>
    <m/>
    <n v="3982"/>
  </r>
  <r>
    <s v="Devon Energy"/>
    <s v="DVN"/>
    <x v="5"/>
    <n v="752"/>
    <n v="21"/>
    <n v="36"/>
    <n v="182.33333333333331"/>
    <n v="1094"/>
    <n v="186"/>
    <n v="32"/>
    <n v="4"/>
    <n v="67"/>
    <n v="402"/>
    <n v="249.33333333333331"/>
    <n v="1496"/>
    <n v="0.73128342245989308"/>
    <n v="0.6873857404021938"/>
    <n v="0.11517367458866545"/>
    <n v="0.1974405850091408"/>
    <n v="39"/>
    <n v="140"/>
    <n v="1371"/>
    <n v="2445"/>
    <n v="25"/>
    <n v="407.5"/>
    <n v="4.1666666666666856"/>
    <n v="1.0330578512396741E-2"/>
    <m/>
    <n v="-1118"/>
    <n v="1124"/>
    <n v="2"/>
    <n v="0"/>
    <n v="8"/>
    <n v="-7"/>
    <n v="65"/>
    <n v="0"/>
    <n v="0"/>
    <n v="58"/>
    <n v="-32"/>
    <n v="114"/>
    <n v="0"/>
    <n v="0"/>
    <n v="82"/>
    <n v="848"/>
    <n v="141.33333333333334"/>
    <n v="1135"/>
    <n v="2"/>
    <n v="351"/>
    <n v="4013"/>
    <n v="5501"/>
    <n v="14880"/>
    <n v="884.16666666666663"/>
    <n v="5305"/>
    <n v="16.829406220546655"/>
    <n v="2.8049010367577756"/>
    <s v="Costs and adds include oil. Sales excluded. "/>
    <n v="1059"/>
    <n v="0"/>
    <n v="159"/>
    <n v="159"/>
    <n v="100"/>
    <n v="0"/>
    <n v="59.38771935576311"/>
    <n v="0"/>
    <n v="340"/>
    <n v="340"/>
    <n v="440"/>
    <n v="0"/>
    <n v="261.30596516535769"/>
    <n v="7153"/>
    <n v="8808"/>
    <n v="0.59387719355763113"/>
    <n v="1878.6936845211208"/>
    <n v="10.303621670134119"/>
    <n v="1.7172702783556864"/>
    <s v="Excludes asset retirement obligations and reduction of carrying value of oil and gas properties.See note 6 income taxes"/>
    <n v="7379.6936845211203"/>
    <n v="737.96936845211212"/>
    <n v="0.13415185756264536"/>
    <n v="4.0473639951669771"/>
    <n v="0.67456066586116281"/>
    <n v="30.170018281535651"/>
    <n v="5.0283363802559418"/>
    <n v="27.133027890680772"/>
    <n v="31.180391885847747"/>
    <n v="57.303046172216426"/>
    <n v="4.5221713151134617"/>
    <n v="5.1967319809746249"/>
    <n v="9.5505076953694044"/>
    <n v="4"/>
    <n v="2.7133027890680772"/>
    <n v="494.72554187341268"/>
    <n v="8.9933746932087374E-2"/>
    <m/>
    <n v="3308"/>
  </r>
  <r>
    <s v="Devon Energy"/>
    <s v="DVN"/>
    <x v="6"/>
    <n v="709"/>
    <n v="28"/>
    <n v="41"/>
    <n v="187.16666666666669"/>
    <n v="1123"/>
    <n v="165"/>
    <n v="34"/>
    <n v="4"/>
    <n v="65.5"/>
    <n v="393"/>
    <n v="252.66666666666669"/>
    <n v="1516"/>
    <n v="0.74076517150395782"/>
    <n v="0.63134461264470165"/>
    <n v="0.14959928762243987"/>
    <n v="0.21905609973285839"/>
    <n v="35"/>
    <n v="84"/>
    <n v="843"/>
    <n v="1557"/>
    <n v="-888"/>
    <n v="259.5"/>
    <n v="-148"/>
    <n v="-0.36319018404907977"/>
    <m/>
    <n v="106"/>
    <n v="471"/>
    <n v="1"/>
    <n v="0"/>
    <n v="578"/>
    <n v="-17"/>
    <n v="69"/>
    <n v="1"/>
    <n v="0"/>
    <n v="53"/>
    <n v="-42"/>
    <n v="64"/>
    <n v="0"/>
    <n v="0"/>
    <n v="22"/>
    <n v="1028"/>
    <n v="171.33333333333331"/>
    <n v="213"/>
    <n v="19"/>
    <n v="443"/>
    <n v="3428"/>
    <n v="4103"/>
    <n v="14509"/>
    <n v="655.66666666666674"/>
    <n v="3934"/>
    <n v="22.1286222674123"/>
    <n v="3.6881037112353838"/>
    <s v="Costs and adds include oil. Sales excluded. "/>
    <n v="1257"/>
    <n v="0"/>
    <n v="125"/>
    <n v="125"/>
    <n v="13"/>
    <n v="0"/>
    <n v="7.7508887693839696"/>
    <n v="0"/>
    <n v="380"/>
    <n v="380"/>
    <n v="466"/>
    <n v="0"/>
    <n v="277.83955127176387"/>
    <n v="8522"/>
    <n v="10588"/>
    <n v="0.59622221302953615"/>
    <n v="2047.5904400411478"/>
    <n v="10.939931113309783"/>
    <n v="1.8233218522182972"/>
    <s v="Excludes asset retirement obligations and reduction of carrying value of oil and gas properties.See note 6 income taxes"/>
    <n v="6150.5904400411473"/>
    <n v="615.05904400411475"/>
    <n v="0.14990471460007671"/>
    <n v="3.2861569581698022"/>
    <n v="0.54769282636163374"/>
    <n v="21.921638468388245"/>
    <n v="3.6536064113980409"/>
    <n v="33.068553380722079"/>
    <n v="36.354710338891884"/>
    <n v="54.990191849110325"/>
    <n v="5.5114255634536811"/>
    <n v="6.0591183898153149"/>
    <n v="9.1650319748517219"/>
    <n v="4"/>
    <n v="3.3068553380722081"/>
    <n v="618.93309077584831"/>
    <n v="0.15084891317958771"/>
    <m/>
    <n v="2791"/>
  </r>
  <r>
    <s v="Devon Energy"/>
    <s v="DVN"/>
    <x v="7"/>
    <n v="660"/>
    <n v="48"/>
    <n v="50"/>
    <n v="208"/>
    <n v="1248"/>
    <n v="41"/>
    <n v="10"/>
    <n v="21"/>
    <n v="37.833333333333329"/>
    <n v="227"/>
    <n v="245.83333333333331"/>
    <n v="1475"/>
    <n v="0.84610169491525422"/>
    <n v="0.52884615384615385"/>
    <n v="0.23076923076923078"/>
    <n v="0.24038461538461539"/>
    <n v="96"/>
    <n v="92"/>
    <n v="703"/>
    <n v="1831"/>
    <n v="274"/>
    <n v="305.16666666666669"/>
    <n v="45.666666666666686"/>
    <n v="0.1759794476557483"/>
    <m/>
    <n v="-108"/>
    <n v="335"/>
    <n v="457"/>
    <n v="0"/>
    <n v="684"/>
    <n v="-39"/>
    <n v="94"/>
    <n v="132"/>
    <n v="0"/>
    <n v="187"/>
    <n v="9"/>
    <n v="47"/>
    <n v="57"/>
    <n v="0"/>
    <n v="113"/>
    <n v="2484"/>
    <n v="414"/>
    <n v="1176"/>
    <n v="5210"/>
    <n v="270"/>
    <n v="4400"/>
    <n v="11056"/>
    <n v="20660"/>
    <n v="726.66666666666663"/>
    <n v="4360"/>
    <n v="28.431192660550462"/>
    <n v="4.738532110091743"/>
    <m/>
    <n v="1559"/>
    <n v="0"/>
    <n v="153"/>
    <n v="153"/>
    <n v="899"/>
    <n v="0"/>
    <n v="428.85567213702808"/>
    <n v="0"/>
    <n v="466"/>
    <n v="466"/>
    <n v="532"/>
    <n v="0"/>
    <n v="253.78333434582751"/>
    <n v="9910"/>
    <n v="17577"/>
    <n v="0.47703634275531487"/>
    <n v="2860.6390064828556"/>
    <n v="13.75307214655219"/>
    <n v="2.2921786910920319"/>
    <m/>
    <n v="13916.639006482856"/>
    <n v="1391.6639006482856"/>
    <n v="0.12587408652752222"/>
    <n v="6.6906918300398344"/>
    <n v="1.1151153050066391"/>
    <n v="53.153846153846153"/>
    <n v="8.8589743589743595"/>
    <n v="42.18426480710265"/>
    <n v="48.874956637142482"/>
    <n v="95.338110960948796"/>
    <n v="7.0307108011837744"/>
    <n v="8.1458261061904143"/>
    <n v="15.889685160158134"/>
    <n v="4"/>
    <n v="4.2184264807102654"/>
    <n v="877.43270798773517"/>
    <n v="7.9362582126242323E-2"/>
    <m/>
    <n v="2752"/>
  </r>
  <r>
    <s v="Devon Energy"/>
    <s v="DVN"/>
    <x v="8"/>
    <n v="579"/>
    <n v="60"/>
    <n v="50"/>
    <n v="206.5"/>
    <n v="1239"/>
    <n v="8"/>
    <n v="10"/>
    <n v="31"/>
    <n v="42.333333333333336"/>
    <n v="254"/>
    <n v="248.83333333333334"/>
    <n v="1493"/>
    <n v="0.82987273945077022"/>
    <n v="0.46731234866828086"/>
    <n v="0.29055690072639223"/>
    <n v="0.24213075060532688"/>
    <n v="39"/>
    <n v="17"/>
    <n v="114"/>
    <n v="450"/>
    <n v="-1381"/>
    <n v="75"/>
    <n v="-230.16666666666669"/>
    <n v="-0.75423265974877118"/>
    <m/>
    <n v="-1415"/>
    <n v="171"/>
    <n v="17"/>
    <n v="0"/>
    <n v="-1227"/>
    <n v="-105"/>
    <n v="51"/>
    <n v="5"/>
    <n v="0"/>
    <n v="-49"/>
    <n v="-125"/>
    <n v="24"/>
    <n v="1"/>
    <n v="0"/>
    <n v="-100"/>
    <n v="-2121"/>
    <n v="-353.5"/>
    <n v="634"/>
    <n v="193"/>
    <n v="478"/>
    <n v="3269"/>
    <n v="4574"/>
    <n v="19733"/>
    <n v="231.83333333333326"/>
    <n v="1391"/>
    <n v="85.117181883537057"/>
    <n v="14.186196980589504"/>
    <m/>
    <n v="1551"/>
    <n v="0"/>
    <n v="196"/>
    <n v="196"/>
    <n v="-279"/>
    <n v="0"/>
    <n v="-98.569739626562921"/>
    <n v="0"/>
    <n v="309"/>
    <n v="309"/>
    <n v="565"/>
    <n v="0"/>
    <n v="199.61255515773496"/>
    <n v="5382"/>
    <n v="12642"/>
    <n v="0.35329655780130081"/>
    <n v="2157.042815531172"/>
    <n v="10.445727920247807"/>
    <n v="1.7409546533746343"/>
    <m/>
    <n v="6731.042815531172"/>
    <n v="673.10428155311729"/>
    <n v="0.14715878477330943"/>
    <n v="3.2595848985623115"/>
    <n v="0.54326414976038517"/>
    <n v="22.150121065375302"/>
    <n v="3.691686844229217"/>
    <n v="95.562909803784862"/>
    <n v="98.822494702347171"/>
    <n v="117.71303086916016"/>
    <n v="15.927151633964138"/>
    <n v="16.470415783724523"/>
    <n v="19.618838478193354"/>
    <n v="4"/>
    <n v="9.5562909803784866"/>
    <n v="1973.3740874481575"/>
    <n v="0.43143290062268419"/>
    <m/>
    <n v="2584"/>
  </r>
  <r>
    <s v="Devon Energy"/>
    <s v="DVN"/>
    <x v="9"/>
    <n v="510"/>
    <n v="47"/>
    <n v="42"/>
    <n v="174"/>
    <n v="1044"/>
    <n v="7"/>
    <n v="8"/>
    <n v="40"/>
    <n v="49.166666666666664"/>
    <n v="295"/>
    <n v="223.16666666666666"/>
    <n v="1339"/>
    <n v="0.77968633308439139"/>
    <n v="0.4885057471264368"/>
    <n v="0.27011494252873564"/>
    <n v="0.2413793103448276"/>
    <n v="34"/>
    <n v="38"/>
    <n v="254"/>
    <n v="686"/>
    <n v="236"/>
    <n v="114.33333333333334"/>
    <n v="39.333333333333343"/>
    <n v="0.5244444444444446"/>
    <m/>
    <n v="525"/>
    <n v="280"/>
    <n v="33"/>
    <n v="0"/>
    <n v="838"/>
    <n v="-20"/>
    <n v="36"/>
    <n v="8"/>
    <n v="0"/>
    <n v="24"/>
    <n v="35"/>
    <n v="42"/>
    <n v="7"/>
    <n v="0"/>
    <n v="84"/>
    <n v="1486"/>
    <n v="247.66666666666666"/>
    <n v="1356"/>
    <n v="237"/>
    <n v="345"/>
    <n v="1034"/>
    <n v="2972"/>
    <n v="18602"/>
    <n v="308.16666666666663"/>
    <n v="1849"/>
    <n v="60.363439697133593"/>
    <n v="10.060573282855598"/>
    <m/>
    <n v="1123"/>
    <n v="0"/>
    <n v="148"/>
    <n v="148"/>
    <n v="-159"/>
    <n v="0"/>
    <n v="-49.352029600044652"/>
    <n v="0"/>
    <n v="200"/>
    <n v="200"/>
    <n v="488"/>
    <n v="0"/>
    <n v="151.47038015611187"/>
    <n v="4182"/>
    <n v="10505"/>
    <m/>
    <n v="1573.1183505560673"/>
    <n v="9.0409100606670538"/>
    <n v="1.5068183434445088"/>
    <m/>
    <n v="4545.1183505560675"/>
    <n v="454.51183505560675"/>
    <n v="0.15293130385451101"/>
    <n v="2.6121369830781997"/>
    <n v="0.43535616384636661"/>
    <n v="106.9080459770115"/>
    <n v="17.81800766283525"/>
    <n v="69.404349757800645"/>
    <n v="72.016486740878847"/>
    <n v="176.31239573481213"/>
    <n v="11.567391626300108"/>
    <n v="12.002747790146474"/>
    <n v="29.385399289135357"/>
    <n v="4"/>
    <n v="6.9404349757800645"/>
    <n v="1207.6356857857313"/>
    <n v="0.4063377139252124"/>
    <m/>
    <n v="3437"/>
  </r>
  <r>
    <s v="Encana"/>
    <s v="ECA"/>
    <x v="0"/>
    <n v="491"/>
    <n v="5.2"/>
    <n v="0"/>
    <n v="87.033333333333331"/>
    <n v="522.20000000000005"/>
    <n v="811"/>
    <n v="33"/>
    <n v="0"/>
    <n v="168.16666666666666"/>
    <n v="1009"/>
    <n v="255.2"/>
    <n v="1531.2"/>
    <n v="0.34103970741901779"/>
    <n v="0.94025277671390262"/>
    <n v="5.9747223286097287E-2"/>
    <n v="0"/>
    <n v="21.3"/>
    <n v="0"/>
    <n v="2640"/>
    <n v="2767.8"/>
    <m/>
    <n v="461.3"/>
    <m/>
    <m/>
    <m/>
    <n v="78"/>
    <n v="827"/>
    <n v="211"/>
    <n v="0"/>
    <n v="1116"/>
    <n v="3.6"/>
    <n v="5.9"/>
    <n v="0"/>
    <n v="0"/>
    <n v="9.5"/>
    <n v="0"/>
    <n v="0"/>
    <n v="0"/>
    <n v="0"/>
    <n v="0"/>
    <n v="1173"/>
    <n v="195.5"/>
    <n v="1048"/>
    <n v="1565"/>
    <n v="48"/>
    <n v="1887"/>
    <n v="4548"/>
    <m/>
    <m/>
    <m/>
    <m/>
    <m/>
    <s v="Costs and adds include oil. Sales excluded. "/>
    <m/>
    <m/>
    <m/>
    <m/>
    <m/>
    <m/>
    <m/>
    <m/>
    <m/>
    <m/>
    <m/>
    <m/>
    <m/>
    <n v="0"/>
    <n v="0"/>
    <m/>
    <m/>
    <m/>
    <m/>
    <m/>
    <m/>
    <m/>
    <m/>
    <m/>
    <m/>
    <m/>
    <m/>
    <m/>
    <m/>
    <m/>
    <m/>
    <m/>
    <m/>
    <n v="4"/>
    <m/>
    <m/>
    <m/>
    <m/>
    <m/>
  </r>
  <r>
    <s v="Encana"/>
    <s v="ECA"/>
    <x v="1"/>
    <n v="598"/>
    <n v="4.9000000000000004"/>
    <n v="0"/>
    <n v="104.56666666666668"/>
    <n v="627.4"/>
    <n v="807"/>
    <n v="32"/>
    <n v="0"/>
    <n v="166.5"/>
    <n v="999"/>
    <n v="271.06666666666666"/>
    <n v="1626.4"/>
    <n v="0.38575996064928675"/>
    <n v="0.95313994262033797"/>
    <n v="4.6860057379662097E-2"/>
    <n v="0"/>
    <n v="17.7"/>
    <n v="0"/>
    <n v="2111"/>
    <n v="2217.1999999999998"/>
    <n v="-550.60000000000036"/>
    <n v="369.5333333333333"/>
    <n v="-91.766666666666708"/>
    <n v="-0.19893055856637049"/>
    <m/>
    <n v="-166"/>
    <n v="655"/>
    <n v="7"/>
    <n v="0"/>
    <n v="496"/>
    <n v="-3.6"/>
    <n v="3.8"/>
    <n v="0"/>
    <n v="0"/>
    <n v="0.19999999999999973"/>
    <n v="0"/>
    <n v="0"/>
    <n v="0"/>
    <n v="0"/>
    <n v="0"/>
    <n v="497.2"/>
    <n v="82.866666666666674"/>
    <n v="1006"/>
    <n v="17"/>
    <n v="197"/>
    <n v="2485"/>
    <n v="3705"/>
    <m/>
    <m/>
    <m/>
    <m/>
    <m/>
    <s v="Costs and adds include oil. Sales excluded. "/>
    <m/>
    <m/>
    <m/>
    <m/>
    <m/>
    <m/>
    <m/>
    <m/>
    <m/>
    <m/>
    <m/>
    <m/>
    <m/>
    <n v="0"/>
    <n v="0"/>
    <m/>
    <m/>
    <m/>
    <m/>
    <m/>
    <m/>
    <m/>
    <m/>
    <m/>
    <m/>
    <m/>
    <m/>
    <m/>
    <m/>
    <m/>
    <m/>
    <m/>
    <m/>
    <n v="4"/>
    <m/>
    <m/>
    <m/>
    <m/>
    <m/>
  </r>
  <r>
    <s v="Encana"/>
    <s v="ECA"/>
    <x v="2"/>
    <n v="590"/>
    <n v="4.0999999999999996"/>
    <n v="0"/>
    <n v="102.43333333333332"/>
    <n v="614.6"/>
    <n v="725"/>
    <n v="27.2"/>
    <n v="0"/>
    <n v="148.03333333333333"/>
    <n v="888.2"/>
    <n v="250.46666666666664"/>
    <n v="1502.8000000000002"/>
    <n v="0.40896992281075323"/>
    <n v="0.95997396680767977"/>
    <n v="4.0026033192320211E-2"/>
    <n v="0"/>
    <n v="15.4"/>
    <n v="0"/>
    <n v="2142"/>
    <n v="2234.4"/>
    <n v="17.200000000000273"/>
    <n v="372.4"/>
    <n v="2.8666666666666742"/>
    <n v="7.7575320223705786E-3"/>
    <m/>
    <n v="-845"/>
    <n v="1406"/>
    <n v="0"/>
    <n v="0"/>
    <n v="561"/>
    <n v="-12.6"/>
    <n v="6.5"/>
    <n v="0"/>
    <n v="0"/>
    <n v="-6.1"/>
    <n v="0"/>
    <n v="0"/>
    <n v="0"/>
    <n v="0"/>
    <n v="0"/>
    <n v="524.4"/>
    <n v="87.4"/>
    <n v="46"/>
    <n v="0"/>
    <n v="133"/>
    <n v="1688"/>
    <n v="1867"/>
    <n v="10120"/>
    <n v="365.76666666666665"/>
    <n v="2194.6"/>
    <n v="27.667912147999637"/>
    <n v="4.6113186913332731"/>
    <s v="Costs and adds include oil. Sales excluded. "/>
    <n v="964"/>
    <n v="477"/>
    <n v="0"/>
    <n v="195.0786531807293"/>
    <n v="766"/>
    <n v="0"/>
    <n v="313.27096087303704"/>
    <n v="0"/>
    <n v="118"/>
    <n v="118"/>
    <n v="533"/>
    <n v="0"/>
    <n v="217.98096885813149"/>
    <n v="12122"/>
    <n v="12122"/>
    <n v="0.40896992281075328"/>
    <n v="1808.3305829118979"/>
    <n v="17.653731691297409"/>
    <n v="2.9422886152162344"/>
    <s v="Excludes asset retirement obligations accretions"/>
    <n v="3675.3305829118981"/>
    <n v="367.53305829118983"/>
    <n v="0.19685755666373317"/>
    <n v="3.588022046448323"/>
    <n v="0.59800367440805369"/>
    <n v="18.226488773185814"/>
    <n v="3.037748128864302"/>
    <n v="45.321643839297046"/>
    <n v="48.909665885745369"/>
    <n v="63.54813261248286"/>
    <n v="7.5536073065495071"/>
    <n v="8.1516109809575603"/>
    <n v="10.59135543541381"/>
    <n v="4"/>
    <n v="4.5321643839297048"/>
    <n v="464.24470506053274"/>
    <n v="0.24865811733290452"/>
    <m/>
    <n v="1146"/>
  </r>
  <r>
    <s v="Encana"/>
    <s v="ECA"/>
    <x v="3"/>
    <n v="679"/>
    <n v="3.5"/>
    <n v="0"/>
    <n v="116.66666666666667"/>
    <n v="700"/>
    <n v="483"/>
    <n v="4.8"/>
    <n v="0"/>
    <n v="85.3"/>
    <n v="511.8"/>
    <n v="201.96666666666667"/>
    <n v="1211.8"/>
    <n v="0.57765307806568744"/>
    <n v="0.97"/>
    <n v="0.03"/>
    <n v="0"/>
    <n v="14.2"/>
    <n v="0"/>
    <n v="3505"/>
    <n v="3590.2"/>
    <n v="1355.7999999999997"/>
    <n v="598.36666666666667"/>
    <n v="225.9666666666667"/>
    <n v="0.60678481919083438"/>
    <m/>
    <n v="517"/>
    <n v="1808"/>
    <n v="81"/>
    <n v="0"/>
    <n v="2406"/>
    <n v="0.2"/>
    <n v="4.7"/>
    <n v="0.5"/>
    <n v="0"/>
    <n v="5.4"/>
    <n v="0"/>
    <n v="0"/>
    <n v="0"/>
    <n v="0"/>
    <n v="0"/>
    <n v="2438.4"/>
    <n v="406.4"/>
    <n v="97"/>
    <n v="44"/>
    <n v="198"/>
    <n v="2301"/>
    <n v="2640"/>
    <n v="8212"/>
    <n v="576.66666666666663"/>
    <n v="3460"/>
    <n v="14.240462427745666"/>
    <n v="2.3734104046242774"/>
    <s v="Costs and adds include oil. Sales excluded. "/>
    <n v="1130"/>
    <n v="361"/>
    <n v="0"/>
    <n v="208.53276118171317"/>
    <n v="2024"/>
    <n v="0"/>
    <n v="1169.1698300049513"/>
    <n v="0"/>
    <n v="209"/>
    <n v="209"/>
    <n v="485"/>
    <n v="0"/>
    <n v="280.16174286185839"/>
    <n v="7104"/>
    <n v="7104"/>
    <n v="0.57765307806568744"/>
    <n v="2996.8643340485228"/>
    <n v="25.687408577558767"/>
    <n v="4.2812347629264611"/>
    <s v="Excludes asset retirement obligations accretions"/>
    <n v="5636.8643340485232"/>
    <n v="563.68643340485232"/>
    <n v="0.21351758841092891"/>
    <n v="4.8315980006130195"/>
    <n v="0.80526633343550336"/>
    <n v="22.628571428571426"/>
    <n v="3.7714285714285714"/>
    <n v="39.927871005304432"/>
    <n v="44.759469005917452"/>
    <n v="62.556442433875858"/>
    <n v="6.6546451675507381"/>
    <n v="7.4599115009862418"/>
    <n v="10.426073738979309"/>
    <n v="4"/>
    <n v="3.9927871005304434"/>
    <n v="465.82516172855173"/>
    <n v="0.1764489248971787"/>
    <m/>
    <n v="1044"/>
  </r>
  <r>
    <s v="Encana"/>
    <s v="ECA"/>
    <x v="4"/>
    <n v="685"/>
    <n v="3.5"/>
    <n v="0"/>
    <n v="117.66666666666667"/>
    <n v="706"/>
    <n v="531"/>
    <n v="5.3"/>
    <n v="0"/>
    <n v="93.8"/>
    <n v="562.79999999999995"/>
    <n v="211.46666666666667"/>
    <n v="1268.8"/>
    <n v="0.55643127364438838"/>
    <n v="0.97025495750708213"/>
    <n v="2.9745042492917845E-2"/>
    <n v="0"/>
    <n v="13.8"/>
    <n v="0"/>
    <n v="3225"/>
    <n v="3307.8"/>
    <n v="-282.39999999999964"/>
    <n v="551.29999999999995"/>
    <n v="-47.06666666666672"/>
    <n v="-7.8658570553172616E-2"/>
    <m/>
    <n v="-204"/>
    <n v="1121"/>
    <n v="23"/>
    <n v="0"/>
    <n v="940"/>
    <n v="-0.7"/>
    <n v="5.4"/>
    <n v="0.3"/>
    <n v="0"/>
    <n v="5"/>
    <n v="0"/>
    <n v="0"/>
    <n v="0"/>
    <n v="0"/>
    <n v="0"/>
    <n v="970"/>
    <n v="161.66666666666666"/>
    <n v="53"/>
    <n v="52"/>
    <n v="181"/>
    <n v="2242"/>
    <n v="2528"/>
    <n v="7035"/>
    <n v="655.46666666666658"/>
    <n v="3932.8"/>
    <n v="10.732811228641173"/>
    <n v="1.7888018714401952"/>
    <s v="Costs and adds include oil. Sales excluded. "/>
    <n v="1172"/>
    <n v="350"/>
    <n v="0"/>
    <n v="194.75094577553594"/>
    <n v="-88"/>
    <n v="0"/>
    <n v="-48.965952080706174"/>
    <n v="0"/>
    <n v="183"/>
    <n v="183"/>
    <n v="488"/>
    <n v="0"/>
    <n v="271.53846153846155"/>
    <n v="6894"/>
    <n v="6894"/>
    <n v="0.55643127364438838"/>
    <n v="1772.3234552332913"/>
    <n v="15.062238996316923"/>
    <n v="2.5103731660528203"/>
    <s v="Excludes asset retirement obligations accretions"/>
    <n v="4300.3234552332915"/>
    <n v="430.03234552332918"/>
    <n v="0.17010773161524098"/>
    <n v="3.6546658259773017"/>
    <n v="0.60911097099621703"/>
    <n v="21.48441926345609"/>
    <n v="3.5807365439093486"/>
    <n v="25.795050224958096"/>
    <n v="29.449716050935397"/>
    <n v="47.279469488414186"/>
    <n v="4.2991750374930158"/>
    <n v="4.9082860084892328"/>
    <n v="7.8799115814023644"/>
    <n v="4"/>
    <n v="2.5795050224958098"/>
    <n v="303.52175764700695"/>
    <n v="0.12006398641099958"/>
    <m/>
    <n v="458"/>
  </r>
  <r>
    <s v="Encana"/>
    <s v="ECA"/>
    <x v="5"/>
    <n v="593"/>
    <n v="3.8"/>
    <n v="0.4"/>
    <n v="103.03333333333333"/>
    <n v="618.19999999999993"/>
    <n v="497"/>
    <n v="2.6"/>
    <n v="4.5"/>
    <n v="89.933333333333323"/>
    <n v="539.6"/>
    <n v="192.96666666666664"/>
    <n v="1157.8"/>
    <n v="0.53394368630160649"/>
    <n v="0.95923649304432235"/>
    <n v="3.6881268197994178E-2"/>
    <n v="3.8822387576835978E-3"/>
    <n v="65.3"/>
    <n v="0"/>
    <n v="1614"/>
    <n v="2005.8"/>
    <n v="-1302.0000000000002"/>
    <n v="334.3"/>
    <n v="-216.99999999999994"/>
    <n v="-0.39361509160166869"/>
    <m/>
    <n v="-1701"/>
    <n v="338"/>
    <n v="8"/>
    <n v="0"/>
    <n v="-1355"/>
    <n v="38.9"/>
    <n v="39.200000000000003"/>
    <n v="0.1"/>
    <n v="0"/>
    <n v="78.199999999999989"/>
    <n v="0"/>
    <n v="0"/>
    <n v="0"/>
    <n v="0"/>
    <n v="0"/>
    <n v="-885.80000000000007"/>
    <n v="-147.63333333333335"/>
    <n v="235"/>
    <n v="5"/>
    <n v="633"/>
    <n v="1094"/>
    <n v="1967"/>
    <n v="7135"/>
    <n v="420.43333333333328"/>
    <n v="2522.6"/>
    <n v="16.970585903432969"/>
    <n v="2.8284309839054944"/>
    <s v="Costs and adds include oil. Sales excluded. "/>
    <n v="1029"/>
    <n v="392"/>
    <n v="0"/>
    <n v="209.30592503022973"/>
    <n v="-124"/>
    <n v="0"/>
    <n v="-66.209017101399212"/>
    <n v="0"/>
    <n v="96"/>
    <n v="96"/>
    <n v="474"/>
    <n v="0"/>
    <n v="253.08930730696147"/>
    <n v="6125"/>
    <n v="6125"/>
    <n v="0.53394368630160649"/>
    <n v="1521.1862152357919"/>
    <n v="14.764020206106036"/>
    <n v="2.4606700343510064"/>
    <s v="Excludes asset retirement obligations accretions"/>
    <n v="3488.1862152357917"/>
    <n v="348.81862152357917"/>
    <n v="0.17733534393674588"/>
    <n v="3.3854929297015124"/>
    <n v="0.56424882161691881"/>
    <n v="19.09090909090909"/>
    <n v="3.1818181818181821"/>
    <n v="31.734606109539005"/>
    <n v="35.120099039240515"/>
    <n v="50.825515200448095"/>
    <n v="5.2891010182565008"/>
    <n v="5.8533498398734194"/>
    <n v="8.4709192000746825"/>
    <n v="4"/>
    <n v="3.1734606109539003"/>
    <n v="326.97222494861688"/>
    <n v="0.16622888914520431"/>
    <m/>
    <n v="579"/>
  </r>
  <r>
    <s v="Encana"/>
    <s v="ECA"/>
    <x v="6"/>
    <n v="491"/>
    <n v="5.0999999999999996"/>
    <n v="3.5"/>
    <n v="90.433333333333323"/>
    <n v="542.6"/>
    <n v="523"/>
    <n v="4.3"/>
    <n v="6.8"/>
    <n v="98.266666666666666"/>
    <n v="589.59999999999991"/>
    <n v="188.7"/>
    <n v="1132.1999999999998"/>
    <n v="0.47924394983218521"/>
    <n v="0.90490232215259858"/>
    <n v="5.6395134537412461E-2"/>
    <n v="3.8702543309988943E-2"/>
    <n v="23.4"/>
    <n v="32"/>
    <n v="1258"/>
    <n v="1590.4"/>
    <n v="-415.39999999999986"/>
    <n v="265.06666666666666"/>
    <n v="-69.233333333333348"/>
    <n v="-0.20709941170605248"/>
    <m/>
    <n v="-362"/>
    <n v="482"/>
    <n v="7"/>
    <n v="0"/>
    <n v="127"/>
    <n v="-17.3"/>
    <n v="27.6"/>
    <n v="0.6"/>
    <n v="0"/>
    <n v="10.9"/>
    <n v="0"/>
    <n v="0"/>
    <n v="0"/>
    <n v="0"/>
    <n v="0"/>
    <n v="192.4"/>
    <n v="32.06666666666667"/>
    <n v="111"/>
    <n v="45"/>
    <n v="412"/>
    <n v="871"/>
    <n v="1439"/>
    <n v="5934"/>
    <n v="46.099999999999973"/>
    <n v="276.59999999999991"/>
    <n v="128.72017353579184"/>
    <n v="21.453362255965299"/>
    <s v="Costs and adds include oil. Sales excluded. "/>
    <n v="1139"/>
    <n v="439"/>
    <n v="0"/>
    <n v="210.38809397632932"/>
    <n v="-186"/>
    <n v="0"/>
    <n v="-89.139374668786445"/>
    <n v="0"/>
    <n v="113"/>
    <n v="113"/>
    <n v="460"/>
    <n v="0"/>
    <n v="220.45221692280521"/>
    <n v="5726"/>
    <n v="5726"/>
    <n v="0.47924394983218521"/>
    <n v="1593.7009362303479"/>
    <n v="17.622937002178563"/>
    <n v="2.9371561670297601"/>
    <s v="Excludes asset retirement obligations accretions"/>
    <n v="3032.7009362303479"/>
    <n v="303.27009362303482"/>
    <n v="0.21075058625645227"/>
    <n v="3.3535211237342595"/>
    <n v="0.55892018728904314"/>
    <n v="15.912274235164027"/>
    <n v="2.6520457058606706"/>
    <n v="146.3431105379704"/>
    <n v="149.69663166170466"/>
    <n v="162.25538477313444"/>
    <n v="24.390518422995058"/>
    <n v="24.949438610284101"/>
    <n v="27.04256412885573"/>
    <n v="4"/>
    <n v="14.63431105379704"/>
    <n v="1323.4295296317121"/>
    <n v="0.91968695596366368"/>
    <m/>
    <n v="470"/>
  </r>
  <r>
    <s v="Encana"/>
    <s v="ECA"/>
    <x v="7"/>
    <n v="355"/>
    <n v="13.1"/>
    <n v="5"/>
    <n v="77.266666666666666"/>
    <n v="463.6"/>
    <n v="503"/>
    <n v="5"/>
    <n v="8.6"/>
    <n v="97.433333333333323"/>
    <n v="584.6"/>
    <n v="174.7"/>
    <n v="1048.2"/>
    <n v="0.44228200725052469"/>
    <n v="0.76574633304572903"/>
    <n v="0.16954270923209663"/>
    <n v="6.4710957722174292E-2"/>
    <n v="81.8"/>
    <n v="36.799999999999997"/>
    <n v="660"/>
    <n v="1371.6"/>
    <n v="-218.80000000000018"/>
    <n v="228.6"/>
    <n v="-36.466666666666669"/>
    <n v="-0.13757545271629779"/>
    <m/>
    <n v="-511"/>
    <n v="493"/>
    <n v="234"/>
    <n v="0"/>
    <n v="216"/>
    <n v="-2.7"/>
    <n v="21.4"/>
    <n v="148.19999999999999"/>
    <n v="0"/>
    <n v="166.89999999999998"/>
    <n v="-2.6"/>
    <n v="8.8000000000000007"/>
    <n v="52.9"/>
    <n v="0"/>
    <n v="59.1"/>
    <n v="1572"/>
    <n v="262"/>
    <n v="5452"/>
    <n v="5008"/>
    <n v="38"/>
    <n v="1247"/>
    <n v="11745"/>
    <n v="15151"/>
    <n v="146.43333333333331"/>
    <n v="878.59999999999991"/>
    <n v="103.4668791258821"/>
    <n v="17.244479854313681"/>
    <s v=" In 2014, Unproved includes $5,338 million from the acquisition of Athlon._x000a_ In 2014, Unproved includes $5,338 million from the acquisition of Athlon._x000a_2014, Unproved includes $5,338 million and Proved includes $2,127 million from the acquisition of Athlon"/>
    <n v="984"/>
    <n v="327"/>
    <n v="0"/>
    <n v="144.62621637092158"/>
    <n v="43"/>
    <n v="0"/>
    <n v="19.018126311772562"/>
    <n v="0"/>
    <n v="146"/>
    <n v="146"/>
    <n v="509"/>
    <n v="0"/>
    <n v="225.12154169051706"/>
    <n v="6212"/>
    <n v="6212"/>
    <n v="0.44228200725052469"/>
    <n v="1518.7658843732111"/>
    <n v="19.656158986711102"/>
    <n v="3.2760264977851832"/>
    <m/>
    <n v="13263.765884373212"/>
    <n v="1326.3765884373213"/>
    <n v="0.11293116972646414"/>
    <n v="17.166219867609854"/>
    <n v="2.8610366446016422"/>
    <n v="152.00603968938739"/>
    <n v="25.334339948231232"/>
    <n v="123.12303811259321"/>
    <n v="140.28925798020305"/>
    <n v="275.1290778019806"/>
    <n v="20.520506352098863"/>
    <n v="23.381542996700507"/>
    <n v="45.854846300330095"/>
    <n v="4"/>
    <n v="12.312303811259321"/>
    <n v="951.33067448330348"/>
    <n v="8.0998780288063302E-2"/>
    <m/>
    <n v="5655"/>
  </r>
  <r>
    <s v="Encana"/>
    <s v="ECA"/>
    <x v="8"/>
    <n v="241"/>
    <n v="29.7"/>
    <n v="8.6"/>
    <n v="78.466666666666654"/>
    <n v="470.79999999999995"/>
    <n v="354"/>
    <n v="2"/>
    <n v="8.3000000000000007"/>
    <n v="69.3"/>
    <n v="415.8"/>
    <n v="147.76666666666665"/>
    <n v="886.59999999999991"/>
    <n v="0.53101736972704716"/>
    <n v="0.51189464740866619"/>
    <n v="0.3785046728971963"/>
    <n v="0.10960067969413766"/>
    <n v="66.3"/>
    <n v="24"/>
    <n v="184"/>
    <n v="725.8"/>
    <n v="-645.79999999999995"/>
    <n v="120.96666666666667"/>
    <n v="-107.63333333333333"/>
    <n v="-0.47083697871099445"/>
    <m/>
    <n v="-342"/>
    <n v="159"/>
    <n v="0"/>
    <n v="0"/>
    <n v="-183"/>
    <n v="-73.599999999999994"/>
    <n v="68.400000000000006"/>
    <n v="0"/>
    <n v="0"/>
    <n v="-5.1999999999999886"/>
    <n v="-41.1"/>
    <n v="24.9"/>
    <n v="0"/>
    <n v="0"/>
    <n v="-16.200000000000003"/>
    <n v="-311.39999999999998"/>
    <n v="-51.899999999999991"/>
    <n v="15"/>
    <n v="12"/>
    <n v="3"/>
    <n v="1844"/>
    <n v="1874"/>
    <n v="15058"/>
    <n v="242.16666666666669"/>
    <n v="1453"/>
    <n v="62.180316586373017"/>
    <n v="10.363386097728837"/>
    <m/>
    <n v="1099"/>
    <n v="275"/>
    <n v="0"/>
    <n v="146.02977667493798"/>
    <n v="-105"/>
    <n v="0"/>
    <n v="-55.75682382133995"/>
    <n v="0"/>
    <n v="116"/>
    <n v="116"/>
    <n v="497"/>
    <n v="0"/>
    <n v="263.91563275434243"/>
    <n v="4313"/>
    <n v="4313"/>
    <n v="0.53101736972704716"/>
    <n v="1569.1885856079405"/>
    <n v="19.998155296617767"/>
    <n v="3.3330258827696273"/>
    <m/>
    <n v="3443.1885856079407"/>
    <n v="344.31885856079407"/>
    <n v="0.18373471641451125"/>
    <n v="4.3880908057875203"/>
    <n v="0.73134846763125338"/>
    <n v="23.882752761257439"/>
    <n v="3.9804587935429061"/>
    <n v="82.178471882990777"/>
    <n v="86.566562688778305"/>
    <n v="106.06122464424821"/>
    <n v="13.696411980498464"/>
    <n v="14.427760448129717"/>
    <n v="17.676870774041369"/>
    <n v="4"/>
    <n v="8.2178471882990785"/>
    <n v="644.8270760418676"/>
    <n v="0.3440912892432591"/>
    <m/>
    <n v="5282"/>
  </r>
  <r>
    <s v="Encana"/>
    <s v="ECA"/>
    <x v="9"/>
    <n v="153"/>
    <n v="26.2"/>
    <n v="8.5"/>
    <n v="60.2"/>
    <n v="361.2"/>
    <n v="354"/>
    <n v="0.7"/>
    <n v="9.1999999999999993"/>
    <n v="68.900000000000006"/>
    <n v="413.4"/>
    <n v="129.10000000000002"/>
    <n v="774.59999999999991"/>
    <n v="0.46630518977536795"/>
    <n v="0.42358803986710963"/>
    <n v="0.43521594684385378"/>
    <n v="0.14119601328903653"/>
    <n v="73.099999999999994"/>
    <n v="68.400000000000006"/>
    <n v="142"/>
    <n v="991"/>
    <n v="265.20000000000005"/>
    <n v="165.16666666666666"/>
    <n v="44.199999999999989"/>
    <n v="0.36538991457701836"/>
    <m/>
    <n v="177"/>
    <n v="91"/>
    <n v="16"/>
    <n v="0"/>
    <n v="284"/>
    <n v="-15.6"/>
    <n v="52.2"/>
    <n v="9.6"/>
    <n v="0"/>
    <n v="46.2"/>
    <n v="-1.6"/>
    <n v="17.7"/>
    <n v="2.6"/>
    <n v="0"/>
    <n v="18.7"/>
    <n v="673.40000000000009"/>
    <n v="112.23333333333333"/>
    <n v="4"/>
    <n v="205"/>
    <n v="13"/>
    <n v="860"/>
    <n v="1082"/>
    <n v="14701"/>
    <n v="322.33333333333337"/>
    <n v="1934"/>
    <n v="45.608066184074453"/>
    <n v="7.6013443640124096"/>
    <m/>
    <n v="654"/>
    <n v="309"/>
    <n v="0"/>
    <n v="144.08830364058869"/>
    <n v="-19"/>
    <n v="0"/>
    <n v="-8.8597986057319904"/>
    <n v="0"/>
    <n v="76"/>
    <n v="76"/>
    <n v="296"/>
    <n v="0"/>
    <n v="138.02633617350892"/>
    <n v="2837"/>
    <n v="2837"/>
    <n v="0.46630518977536795"/>
    <n v="1003.2548412083656"/>
    <n v="16.665362810770194"/>
    <n v="2.777560468461699"/>
    <m/>
    <n v="2085.2548412083656"/>
    <n v="208.52548412083658"/>
    <n v="0.19272225889171588"/>
    <n v="3.4638784737680495"/>
    <n v="0.57731307896134165"/>
    <n v="17.973421926910298"/>
    <n v="2.9955703211517166"/>
    <n v="62.27342899484465"/>
    <n v="65.737307468612698"/>
    <n v="80.246850921754941"/>
    <n v="10.37890483247411"/>
    <n v="10.956217911435452"/>
    <n v="13.374475153625827"/>
    <n v="4"/>
    <n v="6.2273428994844648"/>
    <n v="374.88604254896478"/>
    <n v="0.3464750855350876"/>
    <m/>
    <n v="4913"/>
  </r>
  <r>
    <s v="EOG Resources"/>
    <s v="EOG"/>
    <x v="0"/>
    <n v="360.6"/>
    <n v="13.042999999999999"/>
    <n v="0"/>
    <n v="73.143000000000001"/>
    <n v="438.858"/>
    <n v="181.99999999999997"/>
    <n v="2.6558999999999999"/>
    <n v="0"/>
    <n v="32.989233333333331"/>
    <n v="197.93539999999996"/>
    <n v="106.13223333333333"/>
    <n v="636.79340000000002"/>
    <n v="0.68916857492555672"/>
    <n v="0.82167808265999487"/>
    <n v="0.17832191734000519"/>
    <n v="0"/>
    <n v="40.072000000000003"/>
    <n v="0"/>
    <n v="1078.3"/>
    <n v="1318.732"/>
    <m/>
    <n v="219.78866666666667"/>
    <m/>
    <m/>
    <m/>
    <n v="-63.2"/>
    <n v="1177.5"/>
    <n v="1.2"/>
    <n v="0"/>
    <n v="1115.5"/>
    <n v="27.933"/>
    <n v="49.417999999999999"/>
    <n v="3.6999999999999998E-2"/>
    <n v="0"/>
    <n v="77.388000000000005"/>
    <n v="0"/>
    <n v="0"/>
    <n v="0"/>
    <n v="0"/>
    <n v="0"/>
    <n v="1579.828"/>
    <n v="263.30466666666666"/>
    <n v="233.33699999999999"/>
    <n v="3.887"/>
    <n v="435.94400000000002"/>
    <n v="2336.2579999999998"/>
    <n v="3009.4259999999999"/>
    <m/>
    <m/>
    <m/>
    <m/>
    <m/>
    <s v="Costs and adds include oil. Sales excluded. Costs exclude asset retirement obligations and non-cash acquisition costs."/>
    <m/>
    <m/>
    <m/>
    <m/>
    <m/>
    <m/>
    <m/>
    <m/>
    <m/>
    <m/>
    <m/>
    <m/>
    <m/>
    <n v="0"/>
    <n v="0"/>
    <m/>
    <m/>
    <m/>
    <m/>
    <m/>
    <m/>
    <m/>
    <m/>
    <m/>
    <m/>
    <m/>
    <m/>
    <m/>
    <m/>
    <m/>
    <m/>
    <m/>
    <m/>
    <n v="4"/>
    <m/>
    <m/>
    <m/>
    <m/>
    <m/>
  </r>
  <r>
    <s v="EOG Resources"/>
    <s v="EOG"/>
    <x v="1"/>
    <n v="436"/>
    <n v="14.487"/>
    <n v="5.484"/>
    <n v="92.637666666666661"/>
    <n v="555.82600000000002"/>
    <n v="167.5"/>
    <n v="2.1629999999999998"/>
    <n v="0.36099999999999999"/>
    <n v="30.440666666666669"/>
    <n v="182.64400000000001"/>
    <n v="123.07833333333333"/>
    <n v="738.47"/>
    <n v="0.7526724172952185"/>
    <n v="0.78441814524689379"/>
    <n v="0.15638347252557455"/>
    <n v="5.919838222753164E-2"/>
    <n v="46.238999999999997"/>
    <n v="0"/>
    <n v="1344.3"/>
    <n v="1621.7339999999999"/>
    <n v="303.00199999999995"/>
    <n v="270.28899999999999"/>
    <n v="50.500333333333316"/>
    <n v="0.22976768592860405"/>
    <m/>
    <n v="-110.3"/>
    <n v="1384.4"/>
    <n v="31"/>
    <n v="0"/>
    <n v="1305.1000000000001"/>
    <n v="-1.5920000000000001"/>
    <n v="67.876999999999995"/>
    <n v="6.0000000000000001E-3"/>
    <n v="0"/>
    <n v="66.290999999999997"/>
    <n v="0"/>
    <n v="0"/>
    <n v="0"/>
    <n v="0"/>
    <n v="0"/>
    <n v="1702.846"/>
    <n v="283.80766666666671"/>
    <n v="376.017"/>
    <n v="69.611999999999995"/>
    <n v="550.72500000000002"/>
    <n v="3298.627"/>
    <n v="4294.9809999999998"/>
    <m/>
    <m/>
    <m/>
    <m/>
    <m/>
    <s v="Costs and adds include oil. Sales excluded. Costs exclude asset retirement obligations and non-cash acquisition costs."/>
    <m/>
    <m/>
    <m/>
    <m/>
    <m/>
    <m/>
    <m/>
    <m/>
    <m/>
    <m/>
    <m/>
    <m/>
    <m/>
    <n v="0"/>
    <n v="0"/>
    <m/>
    <m/>
    <m/>
    <m/>
    <m/>
    <m/>
    <m/>
    <m/>
    <m/>
    <m/>
    <m/>
    <m/>
    <m/>
    <m/>
    <m/>
    <m/>
    <m/>
    <m/>
    <n v="4"/>
    <m/>
    <m/>
    <m/>
    <m/>
    <m/>
  </r>
  <r>
    <s v="EOG Resources"/>
    <s v="EOG"/>
    <x v="2"/>
    <n v="422.3"/>
    <n v="17.494"/>
    <n v="8.2200000000000006"/>
    <n v="96.097333333333339"/>
    <n v="576.58400000000006"/>
    <n v="194.5"/>
    <n v="2.6390000000000002"/>
    <n v="0.39300000000000002"/>
    <n v="35.448666666666668"/>
    <n v="212.69200000000001"/>
    <n v="131.54599999999999"/>
    <n v="789.27600000000007"/>
    <n v="0.73052265620644741"/>
    <n v="0.73241713262941732"/>
    <n v="0.1820445936758564"/>
    <n v="8.5538273694726177E-2"/>
    <n v="90.619"/>
    <n v="0"/>
    <n v="3020"/>
    <n v="3563.7139999999999"/>
    <n v="1941.98"/>
    <n v="593.95233333333329"/>
    <n v="323.6633333333333"/>
    <n v="1.1974713485688775"/>
    <m/>
    <n v="-378"/>
    <n v="1925"/>
    <n v="450.8"/>
    <n v="0"/>
    <n v="1997.8"/>
    <n v="4.4020000000000001"/>
    <n v="58.258000000000003"/>
    <n v="15.666"/>
    <n v="0"/>
    <n v="78.326000000000008"/>
    <n v="6.109"/>
    <n v="18.545999999999999"/>
    <n v="8.9999999999999993E-3"/>
    <n v="0"/>
    <n v="24.664000000000001"/>
    <n v="2615.7399999999998"/>
    <n v="435.95666666666665"/>
    <n v="648.33100000000002"/>
    <n v="111.36200000000002"/>
    <n v="473.48899999999998"/>
    <n v="1838.8589999999999"/>
    <n v="3072.0410000000002"/>
    <n v="10376.448"/>
    <n v="983.06899999999996"/>
    <n v="5898.4139999999998"/>
    <n v="10.555157369421678"/>
    <n v="1.7591928949036133"/>
    <s v="Costs and adds include oil. Sales excluded. Costs exclude asset retirement obligations and non-cash acquisition costs."/>
    <n v="827"/>
    <n v="248.274"/>
    <n v="0"/>
    <n v="161.97222152029346"/>
    <n v="51.683999999999997"/>
    <n v="0"/>
    <n v="33.71828019468348"/>
    <m/>
    <n v="0"/>
    <n v="0"/>
    <n v="155.82"/>
    <n v="0"/>
    <n v="101.65587841373694"/>
    <n v="3399.473"/>
    <n v="3806.5889999999999"/>
    <n v="0.65239300740429307"/>
    <n v="1124.3463801287139"/>
    <n v="11.700078879698852"/>
    <n v="1.9500131466164754"/>
    <s v="Includes lease and well costs, transportation costs, gathering and processing costs.; Non-income tax = alternative minimum tax paid; Prodction taxes included in LOE"/>
    <n v="4196.3873801287136"/>
    <n v="419.63873801287139"/>
    <n v="0.13659932859387988"/>
    <n v="4.3668093947754851"/>
    <n v="0.72780156579591415"/>
    <n v="31.968015068055998"/>
    <n v="5.3280025113426666"/>
    <n v="22.255236249120529"/>
    <n v="26.622045643896016"/>
    <n v="54.223251317176526"/>
    <n v="3.7092060415200887"/>
    <n v="4.4370076073160032"/>
    <n v="9.0372085528627544"/>
    <n v="4"/>
    <n v="2.2255236249120527"/>
    <n v="213.86688562438184"/>
    <n v="6.9617197695076932E-2"/>
    <n v="118.459"/>
    <m/>
  </r>
  <r>
    <s v="EOG Resources"/>
    <s v="EOG"/>
    <x v="3"/>
    <n v="422.6"/>
    <n v="23.091999999999999"/>
    <n v="10.763999999999999"/>
    <n v="104.28933333333333"/>
    <n v="625.7360000000001"/>
    <n v="210.79999999999998"/>
    <n v="4.1919999999999993"/>
    <n v="0.316"/>
    <n v="39.641333333333336"/>
    <n v="237.84799999999996"/>
    <n v="143.93066666666667"/>
    <n v="863.58400000000006"/>
    <n v="0.72458035350353878"/>
    <n v="0.67536469054041948"/>
    <n v="0.22142245291944207"/>
    <n v="0.10321285654013833"/>
    <n v="252.583"/>
    <n v="0"/>
    <n v="2971.7"/>
    <n v="4487.1980000000003"/>
    <n v="923.48400000000038"/>
    <n v="747.86633333333327"/>
    <n v="153.91399999999999"/>
    <n v="0.25913527292032973"/>
    <m/>
    <n v="-222.7"/>
    <n v="821.3"/>
    <n v="0"/>
    <n v="0"/>
    <n v="598.59999999999991"/>
    <n v="-8.3130000000000006"/>
    <n v="199.47900000000001"/>
    <n v="1.2999999999999999E-2"/>
    <n v="0"/>
    <n v="191.17900000000003"/>
    <n v="27.49"/>
    <n v="42.220999999999997"/>
    <n v="0"/>
    <n v="0"/>
    <n v="69.710999999999999"/>
    <n v="2163.94"/>
    <n v="360.65666666666669"/>
    <n v="403.50900000000001"/>
    <n v="0"/>
    <n v="454.37899999999996"/>
    <n v="3821.4029999999998"/>
    <n v="4679.2909999999993"/>
    <n v="12046.312999999998"/>
    <n v="1080.421"/>
    <n v="6482.5259999999998"/>
    <n v="11.14964722085187"/>
    <n v="1.8582745368086451"/>
    <s v="Costs and adds include oil. Sales excluded. Costs exclude asset retirement obligations and non-cash acquisition costs."/>
    <n v="1136"/>
    <n v="280"/>
    <n v="0"/>
    <n v="171.01209696661695"/>
    <n v="233.46199999999999"/>
    <n v="0"/>
    <n v="142.58866493578688"/>
    <m/>
    <n v="0"/>
    <n v="0"/>
    <n v="205.886"/>
    <n v="0"/>
    <n v="125.74641641453177"/>
    <n v="4881.2150000000001"/>
    <n v="5790.8950000000004"/>
    <n v="0.61075748916648909"/>
    <n v="1575.3471783169357"/>
    <n v="15.105544622495133"/>
    <n v="2.5175907704158549"/>
    <s v="Includes lease and well costs, transportation costs, gathering and processing costs.; Non-income tax = alternative minimum tax paid; Prodction taxes included in LOE"/>
    <n v="6254.6381783169345"/>
    <n v="625.46381783169352"/>
    <n v="0.13366636480434613"/>
    <n v="5.9973901245735597"/>
    <n v="0.99956502076225984"/>
    <n v="44.868356623240466"/>
    <n v="7.4780594372067428"/>
    <n v="26.255191843347003"/>
    <n v="32.252581967920563"/>
    <n v="71.123548466587465"/>
    <n v="4.3758653072245002"/>
    <n v="5.3754303279867601"/>
    <n v="11.853924744431243"/>
    <n v="4"/>
    <n v="2.6255191843347001"/>
    <n v="273.81364538814296"/>
    <n v="5.8516054117630854E-2"/>
    <n v="99.801000000000002"/>
    <m/>
  </r>
  <r>
    <s v="EOG Resources"/>
    <s v="EOG"/>
    <x v="4"/>
    <n v="415.7"/>
    <n v="37.232999999999997"/>
    <n v="15.144"/>
    <n v="121.66033333333334"/>
    <n v="729.96199999999999"/>
    <n v="180.1"/>
    <n v="4.1490000000000009"/>
    <n v="0.316"/>
    <n v="34.481666666666669"/>
    <n v="206.89"/>
    <n v="156.142"/>
    <n v="936.85199999999998"/>
    <n v="0.77916469196842186"/>
    <n v="0.56948169904734769"/>
    <n v="0.30604058841419141"/>
    <n v="0.12447771253846091"/>
    <n v="383.73899999999998"/>
    <n v="0"/>
    <n v="2810.8"/>
    <n v="5113.2340000000004"/>
    <n v="626.03600000000006"/>
    <n v="852.20566666666673"/>
    <n v="104.33933333333346"/>
    <n v="0.13951601868248309"/>
    <m/>
    <n v="-344"/>
    <n v="634"/>
    <n v="3"/>
    <n v="0"/>
    <n v="293"/>
    <n v="-21.187999999999999"/>
    <n v="202.52199999999999"/>
    <n v="8.9999999999999993E-3"/>
    <n v="0"/>
    <n v="181.34299999999999"/>
    <n v="35.999000000000002"/>
    <n v="65.287999999999997"/>
    <n v="1.7000000000000001E-2"/>
    <n v="0"/>
    <n v="101.304"/>
    <n v="1988.8820000000001"/>
    <n v="331.48033333333331"/>
    <n v="295.15999999999997"/>
    <n v="4.2189999999999994"/>
    <n v="311.36900000000003"/>
    <n v="5358.3789999999999"/>
    <n v="5969.1270000000004"/>
    <n v="13720.458999999999"/>
    <n v="1128.0936666666666"/>
    <n v="6768.5619999999999"/>
    <n v="12.162517533266298"/>
    <n v="2.0270862555443827"/>
    <s v="Costs and adds include oil. Sales excluded. Costs exclude asset retirement obligations and non-cash acquisition costs."/>
    <n v="1518"/>
    <n v="304"/>
    <n v="0"/>
    <n v="181.02005336829305"/>
    <n v="260.22399999999999"/>
    <n v="0"/>
    <n v="154.95316568325885"/>
    <m/>
    <n v="0"/>
    <n v="0"/>
    <n v="268.10399999999998"/>
    <n v="0"/>
    <n v="159.6453960139896"/>
    <n v="6858.1580000000004"/>
    <n v="8973.9500000000007"/>
    <n v="0.59546070186938505"/>
    <n v="2013.6186150655415"/>
    <n v="16.551151553633268"/>
    <n v="2.7585252589388785"/>
    <s v="Includes lease and well costs, transportation costs, gathering and processing costs.; Non-income tax = alternative minimum tax paid; Prodction taxes included in LOE"/>
    <n v="7982.7456150655416"/>
    <n v="798.27456150655416"/>
    <n v="0.13373388797165048"/>
    <n v="6.5615023371618308"/>
    <n v="1.0935837228603054"/>
    <n v="49.063871817985046"/>
    <n v="8.1773119696641743"/>
    <n v="28.713669086899564"/>
    <n v="35.275171424061398"/>
    <n v="77.777540904884603"/>
    <n v="4.7856115144832607"/>
    <n v="5.8791952373435663"/>
    <n v="12.962923484147435"/>
    <n v="4"/>
    <n v="2.8713669086899563"/>
    <n v="349.331455233523"/>
    <n v="5.8523039505362001E-2"/>
    <n v="61.110999999999997"/>
    <m/>
  </r>
  <r>
    <s v="EOG Resources"/>
    <s v="EOG"/>
    <x v="5"/>
    <n v="380.2"/>
    <n v="54.631999999999998"/>
    <n v="20.181000000000001"/>
    <n v="138.17966666666666"/>
    <n v="829.07799999999997"/>
    <n v="176.4"/>
    <n v="3.1629999999999998"/>
    <n v="0.309"/>
    <n v="32.872"/>
    <n v="197.23200000000003"/>
    <n v="171.05166666666668"/>
    <n v="1026.31"/>
    <n v="0.80782414670031477"/>
    <n v="0.45858170160105566"/>
    <n v="0.39536931386431673"/>
    <n v="0.14604898453462764"/>
    <n v="389.86200000000002"/>
    <n v="156.92400000000001"/>
    <n v="1648.5"/>
    <n v="4929.2160000000003"/>
    <n v="-184.01800000000003"/>
    <n v="821.53600000000006"/>
    <n v="-30.669666666666672"/>
    <n v="-3.5988573963170865E-2"/>
    <m/>
    <n v="-1736"/>
    <n v="477.8"/>
    <n v="14.8"/>
    <n v="0"/>
    <n v="-1243.4000000000001"/>
    <n v="4.1050000000000004"/>
    <n v="241.17099999999999"/>
    <n v="1.01"/>
    <n v="0"/>
    <n v="246.28599999999997"/>
    <n v="47.292999999999999"/>
    <n v="71.396000000000001"/>
    <n v="0.61199999999999999"/>
    <n v="0"/>
    <n v="119.30099999999999"/>
    <n v="950.12199999999973"/>
    <n v="158.35366666666661"/>
    <n v="471.34500000000003"/>
    <n v="0.73899999999999999"/>
    <n v="333.53399999999999"/>
    <n v="5577.3779999999997"/>
    <n v="6382.9959999999992"/>
    <n v="17031.413999999997"/>
    <n v="850.49066666666658"/>
    <n v="5102.9439999999995"/>
    <n v="20.025397887964278"/>
    <n v="3.3375663146607133"/>
    <s v="Costs and adds include oil. Sales excluded. Costs exclude asset retirement obligations and non-cash acquisition costs."/>
    <n v="1856.18"/>
    <n v="331.54500000000002"/>
    <n v="0"/>
    <n v="192.8067660775759"/>
    <n v="360.00599999999997"/>
    <n v="0"/>
    <n v="209.3579834668711"/>
    <m/>
    <n v="0"/>
    <n v="0"/>
    <n v="263.25400000000002"/>
    <n v="0"/>
    <n v="153.09280006329809"/>
    <n v="7958.3759999999993"/>
    <n v="11055.07"/>
    <n v="0.5815402617369464"/>
    <n v="2411.437549607745"/>
    <n v="17.451464515578113"/>
    <n v="2.9085774192630187"/>
    <s v="Includes lease and well costs, transportation costs, gathering and processing costs.; Non-income tax = alternative minimum tax paid; Prodction taxes included in LOE"/>
    <n v="8794.4335496077438"/>
    <n v="879.4433549607744"/>
    <n v="0.13777908602179517"/>
    <n v="6.3644917966278767"/>
    <n v="1.0607486327713127"/>
    <n v="46.193453450700652"/>
    <n v="7.6989089084501092"/>
    <n v="37.476862403542391"/>
    <n v="43.841354200170265"/>
    <n v="83.670315854243043"/>
    <n v="6.2461437339237325"/>
    <n v="7.3068923666950454"/>
    <n v="13.945052642373842"/>
    <n v="4"/>
    <n v="3.747686240354239"/>
    <n v="517.85403546340194"/>
    <n v="8.1130245963400571E-2"/>
    <n v="49.116"/>
    <m/>
  </r>
  <r>
    <s v="EOG Resources"/>
    <s v="EOG"/>
    <x v="6"/>
    <n v="342.3"/>
    <n v="77.430999999999997"/>
    <n v="23.478999999999999"/>
    <n v="157.95999999999998"/>
    <n v="947.76"/>
    <n v="160.1"/>
    <n v="3.03"/>
    <n v="0.315"/>
    <n v="30.028333333333336"/>
    <n v="180.17"/>
    <n v="187.98833333333332"/>
    <n v="1127.93"/>
    <n v="0.84026491005647508"/>
    <n v="0.36116738414788557"/>
    <n v="0.49019371992909599"/>
    <n v="0.14863889592301849"/>
    <n v="497.53199999999998"/>
    <n v="176.03800000000001"/>
    <n v="1801.4"/>
    <n v="5842.82"/>
    <n v="913.60399999999936"/>
    <n v="973.80333333333328"/>
    <n v="152.26733333333323"/>
    <n v="0.18534468767446979"/>
    <m/>
    <n v="264"/>
    <n v="504.7"/>
    <n v="5.7"/>
    <n v="0"/>
    <n v="774.40000000000009"/>
    <n v="57.667999999999999"/>
    <n v="230.023"/>
    <n v="1.097"/>
    <n v="0"/>
    <n v="288.78799999999995"/>
    <n v="12.157"/>
    <n v="69.186999999999998"/>
    <n v="1.202"/>
    <n v="0"/>
    <n v="82.545999999999992"/>
    <n v="3002.4039999999995"/>
    <n v="500.40066666666661"/>
    <n v="411.55599999999998"/>
    <n v="120.22"/>
    <n v="273.78799999999995"/>
    <n v="5489.26"/>
    <n v="6294.8240000000005"/>
    <n v="18646.947"/>
    <n v="990.2346666666665"/>
    <n v="5941.4079999999994"/>
    <n v="18.83083639433616"/>
    <n v="3.13847273238936"/>
    <s v="Costs and adds include oil. Sales excluded. Costs exclude asset retirement obligations and non-cash acquisition costs."/>
    <n v="2336.3580000000002"/>
    <n v="348.31200000000001"/>
    <n v="0"/>
    <n v="218.61347066438097"/>
    <n v="294.73899999999998"/>
    <n v="0"/>
    <n v="184.98907798223712"/>
    <m/>
    <n v="0"/>
    <n v="0"/>
    <n v="284.59899999999999"/>
    <n v="0"/>
    <n v="178.62483961968624"/>
    <n v="10755.646000000001"/>
    <n v="14399.395"/>
    <n v="0.62763691938371624"/>
    <n v="2918.5853882663046"/>
    <n v="18.476737074362529"/>
    <n v="3.0794561790604211"/>
    <s v="Includes lease and well costs, transportation costs, gathering and processing costs.; Non-income tax = alternative minimum tax paid; Prodction taxes included in LOE"/>
    <n v="9213.4093882663055"/>
    <n v="921.34093882663058"/>
    <n v="0.14636484496256455"/>
    <n v="5.8327484098925719"/>
    <n v="0.97212473498209528"/>
    <n v="39.850747024563191"/>
    <n v="6.6417911707605306"/>
    <n v="37.307573468698692"/>
    <n v="43.140321878591266"/>
    <n v="77.158320493261883"/>
    <n v="6.2179289114497811"/>
    <n v="7.1900536464318767"/>
    <n v="12.859720082210313"/>
    <n v="4"/>
    <n v="3.7307573468698694"/>
    <n v="589.3104305115645"/>
    <n v="9.3618253744912394E-2"/>
    <n v="9.2110000000000003"/>
    <m/>
  </r>
  <r>
    <s v="EOG Resources"/>
    <s v="EOG"/>
    <x v="7"/>
    <n v="348.4"/>
    <n v="102.946"/>
    <n v="29.061"/>
    <n v="190.07366666666667"/>
    <n v="1140.442"/>
    <n v="157.90000000000003"/>
    <n v="2.5019999999999953"/>
    <n v="0.23599999999999999"/>
    <n v="29.05466666666667"/>
    <n v="174.328"/>
    <n v="219.12833333333333"/>
    <n v="1314.77"/>
    <n v="0.86740798770887684"/>
    <n v="0.30549558855250858"/>
    <n v="0.5416110595716398"/>
    <n v="0.15289335187585165"/>
    <n v="635.98800000000006"/>
    <n v="202.31899999999999"/>
    <n v="1802.7"/>
    <n v="6832.5420000000004"/>
    <n v="989.72200000000066"/>
    <n v="1138.7570000000001"/>
    <n v="164.95366666666678"/>
    <n v="0.16939115016379089"/>
    <m/>
    <n v="252.2"/>
    <n v="17.100000000000001"/>
    <n v="638.29999999999995"/>
    <n v="0"/>
    <n v="907.59999999999991"/>
    <n v="28.300999999999998"/>
    <n v="319.54000000000002"/>
    <n v="9.7050000000000001"/>
    <n v="0"/>
    <n v="357.54599999999999"/>
    <n v="27.45"/>
    <n v="91.683000000000007"/>
    <n v="1.8120000000000001"/>
    <n v="0"/>
    <n v="120.94500000000001"/>
    <n v="3778.5459999999998"/>
    <n v="629.75766666666664"/>
    <n v="365.91500000000002"/>
    <n v="138.77199999999999"/>
    <n v="332.70299999999997"/>
    <n v="6489.192"/>
    <n v="7326.5820000000003"/>
    <n v="20004.402000000002"/>
    <n v="1288.5119999999997"/>
    <n v="7731.0719999999992"/>
    <n v="15.525196505736854"/>
    <n v="2.5875327509561421"/>
    <m/>
    <n v="2897.596"/>
    <n v="402.01"/>
    <n v="0"/>
    <n v="263.90844900736369"/>
    <n v="342.74099999999999"/>
    <n v="0"/>
    <n v="224.99998935656535"/>
    <m/>
    <n v="0"/>
    <n v="0"/>
    <n v="258.62799999999999"/>
    <n v="0"/>
    <n v="169.78213066808402"/>
    <n v="12592.914999999999"/>
    <n v="16639.231"/>
    <n v="0.65647234896486084"/>
    <n v="3556.2865690320132"/>
    <n v="18.710043486816584"/>
    <n v="3.1183405811360974"/>
    <m/>
    <n v="10882.868569032013"/>
    <n v="1088.2868569032014"/>
    <n v="0.1485395040829682"/>
    <n v="5.7256056348496536"/>
    <n v="0.95426760580827552"/>
    <n v="38.546012861679948"/>
    <n v="6.4243354769466574"/>
    <n v="34.235239992553439"/>
    <n v="39.960845627403089"/>
    <n v="72.781252854233387"/>
    <n v="5.7058733320922395"/>
    <n v="6.6601409379005148"/>
    <n v="12.130208809038898"/>
    <n v="4"/>
    <n v="3.4235239992553437"/>
    <n v="650.72175945979382"/>
    <n v="8.8816553129384718E-2"/>
    <n v="17.253"/>
    <m/>
  </r>
  <r>
    <s v="EOG Resources"/>
    <s v="EOG"/>
    <x v="8"/>
    <n v="337.3"/>
    <n v="103.4"/>
    <n v="28.079000000000001"/>
    <n v="187.69566666666668"/>
    <n v="1126.174"/>
    <n v="138.39999999999998"/>
    <n v="0.39699999999999136"/>
    <n v="1.9E-2"/>
    <n v="23.482666666666653"/>
    <n v="140.89599999999993"/>
    <n v="211.17833333333334"/>
    <n v="1267.07"/>
    <n v="0.8888017236616762"/>
    <n v="0.29950966724502609"/>
    <n v="0.55089178048862786"/>
    <n v="0.14959855226634605"/>
    <n v="643.79"/>
    <n v="176.977"/>
    <n v="1278.5999999999999"/>
    <n v="6203.2019999999993"/>
    <n v="-629.34000000000106"/>
    <n v="1033.867"/>
    <n v="-104.8900000000001"/>
    <n v="-9.2109203280418994E-2"/>
    <m/>
    <n v="-1453.1"/>
    <n v="306.3"/>
    <n v="72.3"/>
    <n v="0"/>
    <n v="-1074.5"/>
    <n v="-114.92400000000001"/>
    <n v="141.31"/>
    <n v="35.921999999999997"/>
    <n v="0"/>
    <n v="62.307999999999993"/>
    <n v="-113.29"/>
    <n v="49.146999999999998"/>
    <n v="8.2509999999999994"/>
    <n v="0"/>
    <n v="-55.892000000000003"/>
    <n v="-1036.0040000000001"/>
    <n v="-172.66733333333335"/>
    <n v="133.80099999999999"/>
    <n v="480.61700000000002"/>
    <n v="206.81399999999999"/>
    <n v="3815.8159999999998"/>
    <n v="4637.0479999999998"/>
    <n v="18258.454000000002"/>
    <n v="957.49099999999999"/>
    <n v="5744.945999999999"/>
    <n v="19.069060701353852"/>
    <n v="3.178176783558976"/>
    <m/>
    <n v="2324.6170000000002"/>
    <n v="366.59399999999999"/>
    <n v="0"/>
    <n v="241.02066279278657"/>
    <n v="41.107999999999997"/>
    <n v="0"/>
    <n v="27.026840063083057"/>
    <m/>
    <n v="0"/>
    <n v="0"/>
    <n v="279.23399999999998"/>
    <n v="0"/>
    <n v="183.58501163216246"/>
    <n v="6403.2579999999998"/>
    <n v="8656.393"/>
    <n v="0.65745937683864597"/>
    <n v="2776.2495144880322"/>
    <n v="14.791228608481632"/>
    <n v="2.4652047680802722"/>
    <m/>
    <n v="7413.297514488032"/>
    <n v="741.32975144880322"/>
    <n v="0.15987105405180263"/>
    <n v="3.9496370087507073"/>
    <n v="0.65827283479178456"/>
    <n v="24.705141479025439"/>
    <n v="4.1175235798375738"/>
    <n v="33.86028930983548"/>
    <n v="37.809926318586186"/>
    <n v="58.565430788860922"/>
    <n v="5.6433815516392478"/>
    <n v="6.3016543864310322"/>
    <n v="9.7609051314768216"/>
    <n v="4"/>
    <n v="3.3860289309835481"/>
    <n v="635.54295755357771"/>
    <n v="0.13705766201979747"/>
    <n v="8.9550000000000001"/>
    <m/>
  </r>
  <r>
    <s v="EOG Resources"/>
    <s v="EOG"/>
    <x v="9"/>
    <n v="308.60000000000002"/>
    <n v="101.854"/>
    <n v="29.878"/>
    <n v="183.16533333333331"/>
    <n v="1098.992"/>
    <n v="134"/>
    <n v="1.5570000000000022"/>
    <n v="0"/>
    <n v="23.890333333333334"/>
    <n v="143.34200000000001"/>
    <n v="207.05566666666664"/>
    <n v="1242.3340000000001"/>
    <n v="0.88461879011602351"/>
    <n v="0.28080277199470061"/>
    <n v="0.55607684132368573"/>
    <n v="0.16312038668161372"/>
    <n v="660.96"/>
    <n v="186.14699999999999"/>
    <n v="1216.8"/>
    <n v="6299.442"/>
    <n v="96.240000000000691"/>
    <n v="1049.9069999999999"/>
    <n v="16.039999999999964"/>
    <n v="1.5514568121431446E-2"/>
    <m/>
    <n v="298.39999999999998"/>
    <n v="202.1"/>
    <n v="91.5"/>
    <n v="0"/>
    <n v="592"/>
    <n v="42.04"/>
    <n v="123.441"/>
    <n v="25.795000000000002"/>
    <n v="0"/>
    <n v="191.27600000000001"/>
    <n v="53.771000000000001"/>
    <n v="41.862000000000002"/>
    <n v="1.284"/>
    <n v="0"/>
    <n v="96.917000000000016"/>
    <n v="2321.1579999999999"/>
    <n v="386.85966666666673"/>
    <n v="3216.598"/>
    <n v="749.02300000000002"/>
    <n v="156.29499999999999"/>
    <n v="2294.7130000000002"/>
    <n v="6416.6290000000008"/>
    <n v="18380.259000000002"/>
    <n v="843.95"/>
    <n v="5063.6999999999989"/>
    <n v="21.778848273001955"/>
    <n v="3.6298080455003272"/>
    <m/>
    <n v="1917.6179999999999"/>
    <n v="394.815"/>
    <n v="0"/>
    <n v="257.24188196492253"/>
    <n v="-39.238999999999997"/>
    <n v="0"/>
    <n v="-25.566187217865568"/>
    <m/>
    <n v="0"/>
    <n v="0"/>
    <n v="313.34100000000001"/>
    <n v="0"/>
    <n v="204.15746244892114"/>
    <n v="5496.7430000000004"/>
    <n v="7463.0020000000004"/>
    <n v="0.65155042732652646"/>
    <n v="2353.4511571959779"/>
    <n v="12.848780467169798"/>
    <n v="2.141463411194966"/>
    <m/>
    <n v="8770.0801571959782"/>
    <n v="877.00801571959789"/>
    <n v="0.13667737619232742"/>
    <n v="4.7880676968691205"/>
    <n v="0.7980112828115199"/>
    <n v="35.031896501521402"/>
    <n v="5.8386494169202336"/>
    <n v="34.627628740171751"/>
    <n v="39.415696437040872"/>
    <n v="69.65952524169316"/>
    <n v="5.7712714566952936"/>
    <n v="6.5692827395068134"/>
    <n v="11.609920873615527"/>
    <n v="4"/>
    <n v="3.4627628740171752"/>
    <n v="634.2581160736471"/>
    <n v="9.8846000925664715E-2"/>
    <n v="0"/>
    <m/>
  </r>
  <r>
    <s v="Hess"/>
    <s v="HES"/>
    <x v="0"/>
    <n v="38"/>
    <n v="15"/>
    <n v="0"/>
    <n v="21.333333333333332"/>
    <n v="128"/>
    <n v="203"/>
    <n v="85"/>
    <n v="0"/>
    <n v="118.83333333333334"/>
    <n v="713"/>
    <n v="140.16666666666669"/>
    <n v="841"/>
    <n v="0.15219976218787157"/>
    <n v="0.296875"/>
    <n v="0.703125"/>
    <n v="0"/>
    <n v="103"/>
    <n v="0"/>
    <n v="71"/>
    <n v="689"/>
    <m/>
    <n v="114.83333333333333"/>
    <m/>
    <m/>
    <m/>
    <n v="32"/>
    <n v="26"/>
    <n v="1"/>
    <n v="13"/>
    <n v="72"/>
    <n v="37"/>
    <n v="17"/>
    <n v="5"/>
    <n v="22"/>
    <n v="81"/>
    <n v="0"/>
    <n v="0"/>
    <n v="0"/>
    <n v="0"/>
    <n v="0"/>
    <n v="558"/>
    <n v="93"/>
    <n v="316"/>
    <n v="137"/>
    <n v="421"/>
    <n v="544"/>
    <n v="1418"/>
    <m/>
    <m/>
    <m/>
    <m/>
    <m/>
    <m/>
    <m/>
    <m/>
    <m/>
    <m/>
    <m/>
    <m/>
    <m/>
    <m/>
    <m/>
    <m/>
    <m/>
    <m/>
    <m/>
    <n v="0"/>
    <n v="0"/>
    <m/>
    <m/>
    <m/>
    <m/>
    <m/>
    <m/>
    <m/>
    <m/>
    <m/>
    <m/>
    <m/>
    <m/>
    <m/>
    <m/>
    <m/>
    <m/>
    <m/>
    <m/>
    <m/>
    <m/>
    <m/>
    <m/>
    <m/>
    <m/>
  </r>
  <r>
    <s v="Hess"/>
    <s v="HES"/>
    <x v="1"/>
    <n v="34"/>
    <n v="15"/>
    <n v="0"/>
    <n v="20.666666666666668"/>
    <n v="124"/>
    <n v="238"/>
    <n v="82"/>
    <n v="0"/>
    <n v="121.66666666666666"/>
    <n v="730"/>
    <n v="142.33333333333331"/>
    <n v="854"/>
    <n v="0.14519906323185011"/>
    <n v="0.27419354838709675"/>
    <n v="0.72580645161290314"/>
    <n v="0"/>
    <n v="108"/>
    <n v="0"/>
    <n v="74"/>
    <n v="722"/>
    <n v="33"/>
    <n v="120.33333333333333"/>
    <n v="5.5"/>
    <n v="4.7895500725689405E-2"/>
    <m/>
    <n v="147"/>
    <n v="32"/>
    <n v="2"/>
    <n v="1"/>
    <n v="182"/>
    <n v="9"/>
    <n v="26"/>
    <n v="2"/>
    <n v="1"/>
    <n v="38"/>
    <n v="0"/>
    <n v="0"/>
    <n v="0"/>
    <n v="0"/>
    <n v="0"/>
    <n v="410"/>
    <n v="68.333333333333329"/>
    <n v="642"/>
    <n v="87"/>
    <n v="408"/>
    <n v="698"/>
    <n v="1835"/>
    <m/>
    <m/>
    <m/>
    <m/>
    <m/>
    <m/>
    <m/>
    <m/>
    <m/>
    <m/>
    <m/>
    <m/>
    <m/>
    <m/>
    <m/>
    <m/>
    <m/>
    <m/>
    <m/>
    <n v="0"/>
    <n v="0"/>
    <m/>
    <m/>
    <m/>
    <m/>
    <m/>
    <m/>
    <m/>
    <m/>
    <m/>
    <m/>
    <m/>
    <m/>
    <m/>
    <m/>
    <m/>
    <m/>
    <m/>
    <m/>
    <m/>
    <m/>
    <m/>
    <m/>
    <m/>
    <m/>
  </r>
  <r>
    <s v="Hess"/>
    <s v="HES"/>
    <x v="2"/>
    <n v="39"/>
    <n v="26"/>
    <n v="0"/>
    <n v="32.5"/>
    <n v="195"/>
    <n v="231"/>
    <n v="78"/>
    <n v="0"/>
    <n v="116.5"/>
    <n v="699"/>
    <n v="149"/>
    <n v="894"/>
    <n v="0.21812080536912751"/>
    <n v="0.2"/>
    <n v="0.8"/>
    <n v="0"/>
    <n v="95"/>
    <n v="0"/>
    <n v="101"/>
    <n v="671"/>
    <n v="-51"/>
    <n v="111.83333333333333"/>
    <n v="-8.5"/>
    <n v="-7.0637119113573413E-2"/>
    <m/>
    <n v="46"/>
    <n v="23"/>
    <n v="0"/>
    <n v="0"/>
    <n v="69"/>
    <n v="22"/>
    <n v="26"/>
    <n v="0"/>
    <n v="0"/>
    <n v="48"/>
    <n v="0"/>
    <n v="0"/>
    <n v="0"/>
    <n v="0"/>
    <n v="0"/>
    <n v="357"/>
    <n v="59.5"/>
    <n v="184"/>
    <n v="0"/>
    <n v="206"/>
    <n v="816"/>
    <n v="1206"/>
    <n v="4459"/>
    <n v="220.83333333333331"/>
    <n v="1325"/>
    <n v="20.191698113207551"/>
    <n v="3.3652830188679244"/>
    <m/>
    <n v="1805"/>
    <m/>
    <n v="255"/>
    <n v="255"/>
    <n v="1177"/>
    <m/>
    <n v="256.7281879194631"/>
    <m/>
    <n v="0"/>
    <n v="0"/>
    <n v="366"/>
    <m/>
    <n v="79.832214765100673"/>
    <n v="6880"/>
    <n v="6880"/>
    <n v="0.21812080536912751"/>
    <n v="2396.560402684564"/>
    <n v="73.740320082601968"/>
    <n v="12.290053347100327"/>
    <m/>
    <n v="3602.560402684564"/>
    <n v="360.25604026845645"/>
    <n v="0.29871976805012973"/>
    <n v="11.08480123902943"/>
    <n v="1.8474668731715715"/>
    <n v="37.107692307692311"/>
    <n v="6.1846153846153848"/>
    <n v="93.932018195809519"/>
    <n v="105.01681943483895"/>
    <n v="131.03971050350182"/>
    <n v="15.655336365968251"/>
    <n v="17.502803239139823"/>
    <n v="21.839951750583637"/>
    <n v="4"/>
    <n v="9.3932018195809519"/>
    <n v="305.27905913638097"/>
    <n v="0.25313354820595435"/>
    <n v="1437"/>
    <m/>
  </r>
  <r>
    <s v="Hess"/>
    <s v="HES"/>
    <x v="3"/>
    <n v="46"/>
    <n v="32"/>
    <n v="0"/>
    <n v="39.666666666666664"/>
    <n v="238"/>
    <n v="217"/>
    <n v="80"/>
    <n v="0"/>
    <n v="116.16666666666666"/>
    <n v="697"/>
    <n v="155.83333333333331"/>
    <n v="935"/>
    <n v="0.25454545454545452"/>
    <n v="0.19327731092436976"/>
    <n v="0.80672268907563027"/>
    <n v="0"/>
    <n v="124"/>
    <n v="0"/>
    <n v="81"/>
    <n v="825"/>
    <n v="154"/>
    <n v="137.5"/>
    <n v="25.666666666666671"/>
    <n v="0.22950819672131154"/>
    <m/>
    <n v="-7"/>
    <n v="14"/>
    <n v="13"/>
    <n v="0"/>
    <n v="20"/>
    <n v="68"/>
    <n v="3"/>
    <n v="16"/>
    <n v="0"/>
    <n v="87"/>
    <n v="0"/>
    <n v="0"/>
    <n v="0"/>
    <n v="0"/>
    <n v="0"/>
    <n v="542"/>
    <n v="90.333333333333329"/>
    <n v="1849"/>
    <n v="443"/>
    <n v="185"/>
    <n v="1026"/>
    <n v="3503"/>
    <n v="6544"/>
    <n v="218.16666666666666"/>
    <n v="1309"/>
    <n v="29.995416348357526"/>
    <n v="4.9992360580595872"/>
    <m/>
    <n v="589"/>
    <m/>
    <n v="161"/>
    <n v="161"/>
    <n v="1450"/>
    <m/>
    <n v="369.09090909090907"/>
    <m/>
    <n v="0"/>
    <n v="0"/>
    <n v="366"/>
    <m/>
    <n v="93.163636363636357"/>
    <n v="8608"/>
    <n v="8608"/>
    <n v="0.25454545454545452"/>
    <n v="1212.2545454545455"/>
    <n v="30.561038961038964"/>
    <n v="5.0935064935064931"/>
    <m/>
    <n v="4715.2545454545452"/>
    <n v="471.52545454545452"/>
    <n v="0.13460618171437469"/>
    <n v="11.887196333078686"/>
    <n v="1.9811993888464476"/>
    <n v="88.310924369747909"/>
    <n v="14.718487394957982"/>
    <n v="60.55645530939649"/>
    <n v="72.443651642475174"/>
    <n v="148.86737967914439"/>
    <n v="10.092742551566079"/>
    <n v="12.073941940412528"/>
    <n v="24.811229946524062"/>
    <n v="4"/>
    <n v="6.0556455309396489"/>
    <n v="240.20727272727274"/>
    <n v="6.8571873459112975E-2"/>
    <n v="1783"/>
    <m/>
  </r>
  <r>
    <s v="Hess"/>
    <s v="HES"/>
    <x v="4"/>
    <n v="42"/>
    <n v="34"/>
    <n v="0"/>
    <n v="41"/>
    <n v="246"/>
    <n v="202"/>
    <n v="63"/>
    <n v="0"/>
    <n v="96.666666666666657"/>
    <n v="580"/>
    <n v="137.66666666666666"/>
    <n v="826"/>
    <n v="0.29782082324455206"/>
    <n v="0.17073170731707318"/>
    <n v="0.82926829268292679"/>
    <n v="0"/>
    <n v="183"/>
    <n v="0"/>
    <n v="161"/>
    <n v="1259"/>
    <n v="434"/>
    <n v="209.83333333333334"/>
    <n v="72.333333333333343"/>
    <n v="0.52606060606060612"/>
    <m/>
    <n v="36"/>
    <n v="85"/>
    <n v="1"/>
    <n v="0"/>
    <n v="122"/>
    <n v="33"/>
    <n v="70"/>
    <n v="0"/>
    <n v="0"/>
    <n v="103"/>
    <n v="0"/>
    <n v="0"/>
    <n v="0"/>
    <n v="0"/>
    <n v="0"/>
    <n v="740"/>
    <n v="123.33333333333333"/>
    <n v="992"/>
    <n v="6"/>
    <n v="93"/>
    <n v="1979"/>
    <n v="3070"/>
    <n v="7779"/>
    <n v="273.16666666666663"/>
    <n v="1639"/>
    <n v="28.477120195241003"/>
    <n v="4.7461866992068336"/>
    <m/>
    <n v="531"/>
    <m/>
    <n v="190"/>
    <n v="190"/>
    <n v="1384"/>
    <m/>
    <n v="412.18401937046002"/>
    <m/>
    <n v="129"/>
    <n v="129"/>
    <n v="396"/>
    <m/>
    <n v="117.93704600484261"/>
    <n v="10586"/>
    <n v="10586"/>
    <n v="0.29782082324455206"/>
    <n v="1380.1210653753026"/>
    <n v="33.661489399397624"/>
    <n v="5.6102482332329373"/>
    <m/>
    <n v="4450.1210653753024"/>
    <n v="445.01210653753026"/>
    <n v="0.14495508356271344"/>
    <n v="10.853953817988543"/>
    <n v="1.8089923029980906"/>
    <n v="74.878048780487802"/>
    <n v="12.479674796747968"/>
    <n v="62.138609594638623"/>
    <n v="72.992563412627163"/>
    <n v="137.01665837512644"/>
    <n v="10.356434932439772"/>
    <n v="12.165427235437862"/>
    <n v="22.83610972918774"/>
    <n v="4"/>
    <n v="6.2138609594638625"/>
    <n v="254.76829933801835"/>
    <n v="8.2986416722481554E-2"/>
    <n v="2022"/>
    <m/>
  </r>
  <r>
    <s v="Hess"/>
    <s v="HES"/>
    <x v="5"/>
    <n v="50"/>
    <n v="45"/>
    <n v="0"/>
    <n v="53.333333333333336"/>
    <n v="320"/>
    <n v="194"/>
    <n v="65"/>
    <n v="0"/>
    <n v="97.333333333333343"/>
    <n v="584"/>
    <n v="150.66666666666669"/>
    <n v="904"/>
    <n v="0.35398230088495575"/>
    <n v="0.15625"/>
    <n v="0.84375"/>
    <n v="0"/>
    <n v="193"/>
    <n v="0"/>
    <n v="168"/>
    <n v="1326"/>
    <n v="67"/>
    <n v="221"/>
    <n v="11.166666666666657"/>
    <n v="5.3216838760921321E-2"/>
    <m/>
    <n v="10"/>
    <n v="76"/>
    <n v="0"/>
    <n v="4"/>
    <n v="90"/>
    <n v="32"/>
    <n v="108"/>
    <n v="0"/>
    <n v="7"/>
    <n v="147"/>
    <n v="0"/>
    <n v="0"/>
    <n v="0"/>
    <n v="0"/>
    <n v="0"/>
    <n v="972"/>
    <n v="162"/>
    <n v="179"/>
    <n v="0"/>
    <n v="86"/>
    <n v="3521"/>
    <n v="3786"/>
    <n v="10359"/>
    <n v="375.66666666666663"/>
    <n v="2254"/>
    <n v="27.574977817213846"/>
    <n v="4.595829636202307"/>
    <m/>
    <n v="758"/>
    <m/>
    <n v="196"/>
    <n v="196"/>
    <n v="1822"/>
    <m/>
    <n v="644.95575221238937"/>
    <m/>
    <n v="199"/>
    <n v="199"/>
    <n v="447"/>
    <m/>
    <n v="158.23008849557522"/>
    <n v="12196"/>
    <n v="12196"/>
    <n v="0.35398230088495575"/>
    <n v="1956.1858407079646"/>
    <n v="36.678484513274334"/>
    <n v="6.1130807522123893"/>
    <m/>
    <n v="5742.1858407079644"/>
    <n v="574.21858407079651"/>
    <n v="0.1516689339859473"/>
    <n v="10.766598451327434"/>
    <n v="1.7944330752212392"/>
    <n v="70.987499999999997"/>
    <n v="11.831250000000001"/>
    <n v="64.253462330488176"/>
    <n v="75.020060781815616"/>
    <n v="135.24096233048817"/>
    <n v="10.708910388414697"/>
    <n v="12.503343463635936"/>
    <n v="22.540160388414698"/>
    <n v="4"/>
    <n v="6.4253462330488178"/>
    <n v="342.68513242927031"/>
    <n v="9.0513769791143769E-2"/>
    <n v="2259"/>
    <m/>
  </r>
  <r>
    <s v="Hess"/>
    <s v="HES"/>
    <x v="6"/>
    <n v="51"/>
    <n v="45"/>
    <n v="0"/>
    <n v="53.5"/>
    <n v="321"/>
    <n v="169"/>
    <n v="43"/>
    <n v="0"/>
    <n v="71.166666666666671"/>
    <n v="427"/>
    <n v="124.66666666666667"/>
    <n v="748"/>
    <n v="0.42914438502673796"/>
    <n v="0.15887850467289719"/>
    <n v="0.84112149532710279"/>
    <n v="0"/>
    <n v="242"/>
    <n v="62"/>
    <n v="185"/>
    <n v="2009"/>
    <n v="683"/>
    <n v="334.83333333333331"/>
    <n v="113.83333333333331"/>
    <n v="0.51508295625942679"/>
    <m/>
    <n v="-12"/>
    <n v="131"/>
    <n v="0"/>
    <n v="0"/>
    <n v="119"/>
    <n v="-55"/>
    <n v="211"/>
    <n v="0"/>
    <n v="0"/>
    <n v="156"/>
    <n v="0"/>
    <n v="0"/>
    <n v="0"/>
    <n v="0"/>
    <n v="0"/>
    <n v="1055"/>
    <n v="175.83333333333334"/>
    <n v="55"/>
    <n v="0"/>
    <n v="32"/>
    <n v="2109"/>
    <n v="2196"/>
    <n v="9052"/>
    <n v="461.16666666666663"/>
    <n v="2767"/>
    <n v="19.628478496566679"/>
    <n v="3.271413082761113"/>
    <m/>
    <n v="675"/>
    <m/>
    <n v="203"/>
    <n v="203"/>
    <n v="1353"/>
    <m/>
    <n v="580.63235294117646"/>
    <m/>
    <n v="232"/>
    <n v="232"/>
    <n v="466"/>
    <m/>
    <n v="199.98128342245988"/>
    <n v="11849"/>
    <n v="11849"/>
    <n v="0.42914438502673796"/>
    <n v="1890.6136363636365"/>
    <n v="35.338572642310965"/>
    <n v="5.8897621070518271"/>
    <m/>
    <n v="4086.6136363636365"/>
    <n v="408.66136363636366"/>
    <n v="0.18609351713859912"/>
    <n v="7.638530161427358"/>
    <n v="1.2730883602378931"/>
    <n v="41.046728971962615"/>
    <n v="6.8411214953271031"/>
    <n v="54.967051138877643"/>
    <n v="62.605581300305005"/>
    <n v="96.013780110840258"/>
    <n v="9.1611751898129405"/>
    <n v="10.434263550050833"/>
    <n v="16.002296685140045"/>
    <n v="4"/>
    <n v="5.4967051138877645"/>
    <n v="294.07372359299541"/>
    <n v="0.13391335318442413"/>
    <n v="2045"/>
    <m/>
  </r>
  <r>
    <s v="Hess"/>
    <s v="HES"/>
    <x v="7"/>
    <n v="66"/>
    <n v="46"/>
    <n v="8"/>
    <n v="65"/>
    <n v="390"/>
    <n v="131"/>
    <n v="35"/>
    <n v="0"/>
    <n v="56.833333333333329"/>
    <n v="341"/>
    <n v="121.83333333333333"/>
    <n v="731"/>
    <n v="0.53351573187414503"/>
    <n v="0.16923076923076924"/>
    <n v="0.70769230769230773"/>
    <n v="0.12307692307692308"/>
    <n v="248"/>
    <n v="63"/>
    <n v="270"/>
    <n v="2136"/>
    <n v="127"/>
    <n v="356"/>
    <n v="21.166666666666686"/>
    <n v="6.3215530114484872E-2"/>
    <m/>
    <n v="58"/>
    <n v="184"/>
    <n v="0"/>
    <n v="0"/>
    <n v="242"/>
    <n v="-26"/>
    <n v="115"/>
    <n v="0"/>
    <n v="0"/>
    <n v="89"/>
    <n v="-8"/>
    <n v="22"/>
    <n v="0"/>
    <n v="0"/>
    <n v="14"/>
    <n v="860"/>
    <n v="143.33333333333334"/>
    <n v="21"/>
    <n v="0"/>
    <n v="28"/>
    <n v="2665"/>
    <n v="2714"/>
    <n v="8696"/>
    <n v="481.16666666666674"/>
    <n v="2887"/>
    <n v="18.072739868375475"/>
    <n v="3.0121233113959125"/>
    <m/>
    <n v="731"/>
    <m/>
    <n v="482"/>
    <n v="482"/>
    <n v="455"/>
    <m/>
    <n v="242.749658002736"/>
    <m/>
    <n v="240"/>
    <n v="240"/>
    <n v="397"/>
    <m/>
    <n v="211.80574555403558"/>
    <n v="10702"/>
    <n v="10702"/>
    <n v="0.53351573187414503"/>
    <n v="1907.5554035567716"/>
    <n v="29.347006208565716"/>
    <n v="4.8911677014276194"/>
    <m/>
    <n v="4621.5554035567711"/>
    <n v="462.15554035567715"/>
    <n v="0.17028575547372038"/>
    <n v="7.1100852362411873"/>
    <n v="1.1850142060401978"/>
    <n v="41.753846153846155"/>
    <n v="6.9589743589743591"/>
    <n v="47.419746076941195"/>
    <n v="54.529831313182385"/>
    <n v="89.173592230787349"/>
    <n v="7.9032910128235319"/>
    <n v="9.088305218863729"/>
    <n v="14.862265371797891"/>
    <n v="4"/>
    <n v="4.7419746076941198"/>
    <n v="308.22834950011782"/>
    <n v="0.11356976768611562"/>
    <n v="1416"/>
    <m/>
  </r>
  <r>
    <s v="Hess"/>
    <s v="HES"/>
    <x v="8"/>
    <n v="104"/>
    <n v="54"/>
    <n v="14"/>
    <n v="85.333333333333329"/>
    <n v="512"/>
    <n v="123"/>
    <n v="33"/>
    <n v="0"/>
    <n v="53.5"/>
    <n v="321"/>
    <n v="138.83333333333331"/>
    <n v="833"/>
    <n v="0.61464585834333729"/>
    <n v="0.203125"/>
    <n v="0.6328125"/>
    <n v="0.1640625"/>
    <n v="93"/>
    <n v="23"/>
    <n v="137"/>
    <n v="833"/>
    <n v="-1303"/>
    <n v="138.83333333333334"/>
    <n v="-217.16666666666666"/>
    <n v="-0.61001872659176026"/>
    <m/>
    <n v="-113"/>
    <n v="102"/>
    <n v="0"/>
    <n v="0"/>
    <n v="-11"/>
    <n v="-157"/>
    <n v="45"/>
    <n v="0"/>
    <n v="0"/>
    <n v="-112"/>
    <n v="-42"/>
    <n v="11"/>
    <n v="0"/>
    <n v="0"/>
    <n v="-31"/>
    <n v="-869"/>
    <n v="-144.83333333333331"/>
    <n v="22"/>
    <n v="0"/>
    <n v="210"/>
    <n v="2263"/>
    <n v="2495"/>
    <n v="7405"/>
    <n v="174.33333333333337"/>
    <n v="1046"/>
    <n v="42.476099426386227"/>
    <n v="7.0793499043977057"/>
    <m/>
    <n v="786"/>
    <m/>
    <n v="711"/>
    <n v="711"/>
    <n v="140"/>
    <m/>
    <n v="86.05042016806722"/>
    <m/>
    <n v="138"/>
    <n v="138"/>
    <n v="376"/>
    <m/>
    <n v="231.10684273709481"/>
    <n v="6554"/>
    <n v="6554"/>
    <n v="0.61464585834333729"/>
    <n v="1952.157262905162"/>
    <n v="22.876842924669869"/>
    <n v="3.8128071541116446"/>
    <m/>
    <n v="4447.1572629051625"/>
    <n v="444.71572629051627"/>
    <n v="0.17824277606834318"/>
    <n v="5.211512417466988"/>
    <n v="0.86858540291116459"/>
    <n v="29.23828125"/>
    <n v="4.873046875"/>
    <n v="65.3529423510561"/>
    <n v="70.564454768523092"/>
    <n v="94.5912236010561"/>
    <n v="10.892157058509351"/>
    <n v="11.760742461420516"/>
    <n v="15.765203933509351"/>
    <n v="4"/>
    <n v="6.53529423510561"/>
    <n v="557.67844139567865"/>
    <n v="0.22351841338504155"/>
    <n v="1415"/>
    <m/>
  </r>
  <r>
    <s v="Hess"/>
    <s v="HES"/>
    <x v="9"/>
    <n v="104"/>
    <n v="45"/>
    <n v="16"/>
    <n v="78.333333333333329"/>
    <n v="470"/>
    <n v="102"/>
    <n v="25"/>
    <n v="0"/>
    <n v="42"/>
    <n v="252"/>
    <n v="120.33333333333333"/>
    <n v="722"/>
    <n v="0.65096952908587258"/>
    <n v="0.22127659574468084"/>
    <n v="0.57446808510638303"/>
    <n v="0.20425531914893619"/>
    <n v="110"/>
    <n v="27"/>
    <n v="186"/>
    <n v="1008"/>
    <n v="175"/>
    <n v="168"/>
    <n v="29.166666666666657"/>
    <n v="0.2100840336134453"/>
    <m/>
    <n v="116"/>
    <n v="83"/>
    <n v="0"/>
    <n v="0"/>
    <n v="199"/>
    <n v="42"/>
    <n v="12"/>
    <n v="0"/>
    <n v="0"/>
    <n v="54"/>
    <n v="23"/>
    <n v="5"/>
    <n v="0"/>
    <n v="0"/>
    <n v="28"/>
    <n v="691"/>
    <n v="115.16666666666666"/>
    <n v="11"/>
    <n v="0"/>
    <n v="198"/>
    <n v="818"/>
    <n v="1027"/>
    <n v="6236"/>
    <n v="113.66666666666669"/>
    <n v="682"/>
    <n v="54.86217008797653"/>
    <n v="9.1436950146627574"/>
    <m/>
    <n v="955"/>
    <m/>
    <n v="696"/>
    <n v="696"/>
    <n v="-132"/>
    <m/>
    <n v="-85.927977839335185"/>
    <m/>
    <n v="94"/>
    <n v="94"/>
    <n v="380"/>
    <m/>
    <n v="247.36842105263159"/>
    <n v="4669"/>
    <n v="4669"/>
    <n v="0.65096952908587258"/>
    <n v="1906.4404432132965"/>
    <n v="24.337537572935702"/>
    <n v="4.0562562621559497"/>
    <m/>
    <n v="2933.4404432132965"/>
    <n v="293.34404432132965"/>
    <n v="0.28563198083868513"/>
    <n v="3.7448175870808043"/>
    <n v="0.62413626451346738"/>
    <n v="13.110638297872342"/>
    <n v="2.1851063829787236"/>
    <n v="79.199707660912225"/>
    <n v="82.944525247993028"/>
    <n v="92.310345958784566"/>
    <n v="13.199951276818707"/>
    <n v="13.824087541332174"/>
    <n v="15.385057659797431"/>
    <n v="4"/>
    <n v="7.9199707660912226"/>
    <n v="620.39771001047905"/>
    <n v="0.60408735151945381"/>
    <n v="597"/>
    <m/>
  </r>
  <r>
    <s v="Marathon"/>
    <s v="MRO"/>
    <x v="0"/>
    <n v="174"/>
    <n v="23"/>
    <m/>
    <n v="52"/>
    <n v="312"/>
    <n v="132"/>
    <n v="46"/>
    <m/>
    <n v="68"/>
    <n v="408"/>
    <n v="120"/>
    <n v="720"/>
    <n v="0.43333333333333335"/>
    <n v="0.55769230769230771"/>
    <n v="0.44230769230769229"/>
    <n v="0"/>
    <n v="31"/>
    <n v="0"/>
    <n v="246"/>
    <n v="432"/>
    <m/>
    <n v="72"/>
    <m/>
    <m/>
    <m/>
    <n v="-36"/>
    <n v="148"/>
    <n v="1"/>
    <n v="0"/>
    <n v="113"/>
    <n v="2"/>
    <n v="5"/>
    <n v="2"/>
    <n v="8"/>
    <n v="17"/>
    <n v="0"/>
    <n v="0"/>
    <n v="0"/>
    <n v="0"/>
    <n v="0"/>
    <n v="215"/>
    <n v="35.833333333333329"/>
    <n v="142"/>
    <n v="4"/>
    <n v="523"/>
    <n v="697"/>
    <n v="1366"/>
    <m/>
    <m/>
    <m/>
    <m/>
    <m/>
    <m/>
    <m/>
    <m/>
    <m/>
    <m/>
    <m/>
    <m/>
    <m/>
    <m/>
    <m/>
    <m/>
    <m/>
    <m/>
    <m/>
    <n v="0"/>
    <n v="0"/>
    <m/>
    <m/>
    <m/>
    <m/>
    <m/>
    <m/>
    <m/>
    <m/>
    <m/>
    <m/>
    <m/>
    <m/>
    <m/>
    <m/>
    <m/>
    <m/>
    <m/>
    <m/>
    <m/>
    <m/>
    <m/>
    <m/>
    <m/>
    <m/>
  </r>
  <r>
    <s v="Marathon"/>
    <s v="MRO"/>
    <x v="1"/>
    <n v="164"/>
    <n v="23"/>
    <m/>
    <n v="50.333333333333329"/>
    <n v="302"/>
    <n v="183"/>
    <n v="52"/>
    <m/>
    <n v="82.5"/>
    <n v="495"/>
    <n v="132.83333333333331"/>
    <n v="797"/>
    <n v="0.37892095357590966"/>
    <n v="0.54304635761589404"/>
    <n v="0.45695364238410602"/>
    <n v="0"/>
    <n v="41"/>
    <n v="0"/>
    <n v="246"/>
    <n v="492"/>
    <n v="60"/>
    <n v="82"/>
    <n v="10"/>
    <n v="0.1388888888888889"/>
    <m/>
    <n v="79"/>
    <n v="165"/>
    <n v="0"/>
    <n v="0"/>
    <n v="244"/>
    <n v="3"/>
    <n v="31"/>
    <n v="0"/>
    <n v="1"/>
    <n v="35"/>
    <n v="0"/>
    <n v="0"/>
    <n v="0"/>
    <n v="0"/>
    <n v="0"/>
    <n v="454"/>
    <n v="75.666666666666657"/>
    <n v="397"/>
    <n v="3"/>
    <n v="738"/>
    <n v="1072"/>
    <n v="2210"/>
    <m/>
    <m/>
    <m/>
    <m/>
    <m/>
    <m/>
    <m/>
    <m/>
    <m/>
    <m/>
    <m/>
    <m/>
    <m/>
    <m/>
    <m/>
    <m/>
    <m/>
    <m/>
    <m/>
    <n v="0"/>
    <n v="0"/>
    <m/>
    <m/>
    <m/>
    <m/>
    <m/>
    <m/>
    <m/>
    <m/>
    <m/>
    <m/>
    <m/>
    <m/>
    <m/>
    <m/>
    <m/>
    <m/>
    <m/>
    <m/>
    <m/>
    <m/>
    <m/>
    <m/>
    <m/>
    <m/>
  </r>
  <r>
    <s v="Marathon"/>
    <s v="MRO"/>
    <x v="2"/>
    <n v="146"/>
    <n v="23"/>
    <m/>
    <n v="47.333333333333329"/>
    <n v="284"/>
    <n v="199"/>
    <n v="65"/>
    <m/>
    <n v="98.166666666666657"/>
    <n v="589"/>
    <n v="145.5"/>
    <n v="873"/>
    <n v="0.32531500572737687"/>
    <n v="0.5140845070422535"/>
    <n v="0.48591549295774655"/>
    <n v="0"/>
    <n v="50"/>
    <n v="0"/>
    <n v="168"/>
    <n v="468"/>
    <n v="-24"/>
    <n v="78"/>
    <n v="-4"/>
    <n v="-4.878048780487805E-2"/>
    <m/>
    <n v="-139"/>
    <n v="80"/>
    <n v="0"/>
    <n v="0"/>
    <n v="-59"/>
    <n v="0"/>
    <n v="21"/>
    <n v="0"/>
    <n v="0"/>
    <n v="21"/>
    <n v="0"/>
    <n v="0"/>
    <n v="0"/>
    <n v="0"/>
    <n v="0"/>
    <n v="67"/>
    <n v="11.166666666666666"/>
    <n v="127"/>
    <n v="0"/>
    <n v="271"/>
    <n v="1150"/>
    <n v="1548"/>
    <n v="5124"/>
    <n v="122.66666666666666"/>
    <n v="736"/>
    <n v="41.771739130434788"/>
    <n v="6.9619565217391308"/>
    <m/>
    <n v="816"/>
    <n v="451"/>
    <n v="0"/>
    <n v="54.30322271038338"/>
    <n v="1663"/>
    <n v="0"/>
    <n v="200.23560835336488"/>
    <n v="0"/>
    <m/>
    <n v="0"/>
    <n v="262"/>
    <n v="0"/>
    <n v="31.546439800710523"/>
    <n v="4306"/>
    <n v="11634"/>
    <n v="0.12040625878133787"/>
    <n v="1102.0852708644588"/>
    <n v="23.283491637981527"/>
    <n v="3.8805819396635877"/>
    <m/>
    <n v="2650.0852708644588"/>
    <n v="265.00852708644589"/>
    <n v="0.17119413894473248"/>
    <n v="5.5987716990094212"/>
    <n v="0.93312861650157009"/>
    <n v="32.70422535211268"/>
    <n v="5.450704225352113"/>
    <n v="65.055230768416322"/>
    <n v="70.654002467425741"/>
    <n v="97.759456120528995"/>
    <n v="10.842538461402718"/>
    <n v="11.775667077904288"/>
    <n v="16.29324268675483"/>
    <n v="4"/>
    <n v="6.5055230768416319"/>
    <n v="307.92809230383722"/>
    <n v="0.19891995626862868"/>
    <n v="829"/>
    <m/>
  </r>
  <r>
    <s v="Marathon"/>
    <s v="MRO"/>
    <x v="3"/>
    <n v="133"/>
    <n v="25"/>
    <m/>
    <n v="47.166666666666671"/>
    <n v="283"/>
    <n v="181"/>
    <n v="73"/>
    <m/>
    <n v="103.16666666666667"/>
    <n v="619"/>
    <n v="150.33333333333334"/>
    <n v="902"/>
    <n v="0.3137472283813747"/>
    <n v="0.46996466431095407"/>
    <n v="0.53003533568904593"/>
    <n v="0"/>
    <n v="49"/>
    <n v="0"/>
    <n v="154"/>
    <n v="448"/>
    <n v="-20"/>
    <n v="74.666666666666671"/>
    <n v="-3.3333333333333286"/>
    <n v="-4.2735042735042673E-2"/>
    <m/>
    <n v="16"/>
    <n v="61"/>
    <n v="1"/>
    <n v="0"/>
    <n v="78"/>
    <n v="-3"/>
    <n v="30"/>
    <n v="1"/>
    <n v="0"/>
    <n v="28"/>
    <n v="0"/>
    <n v="0"/>
    <n v="0"/>
    <n v="0"/>
    <n v="0"/>
    <n v="246"/>
    <n v="41"/>
    <n v="400"/>
    <n v="1"/>
    <n v="520"/>
    <n v="855"/>
    <n v="1776"/>
    <n v="5534"/>
    <n v="127.83333333333333"/>
    <n v="767"/>
    <n v="43.290743155149933"/>
    <n v="7.2151238591916558"/>
    <m/>
    <n v="867"/>
    <n v="491"/>
    <n v="0"/>
    <n v="109.41359841863655"/>
    <n v="2155"/>
    <n v="0"/>
    <n v="480.2165062976818"/>
    <n v="0"/>
    <m/>
    <n v="0"/>
    <n v="375"/>
    <n v="0"/>
    <n v="83.564357244376183"/>
    <n v="5302"/>
    <n v="7465"/>
    <n v="0.22283828598500316"/>
    <n v="1540.1944619606945"/>
    <n v="32.654299546869844"/>
    <n v="5.4423832578116418"/>
    <m/>
    <n v="3316.1944619606948"/>
    <n v="331.61944619606948"/>
    <n v="0.18672266114643551"/>
    <n v="7.0308009794219668"/>
    <n v="1.1718001632369945"/>
    <n v="37.653710247349821"/>
    <n v="6.2756183745583041"/>
    <n v="75.945042702019776"/>
    <n v="82.975843681441745"/>
    <n v="113.5987529493696"/>
    <n v="12.657507117003298"/>
    <n v="13.829307280240293"/>
    <n v="18.933125491561604"/>
    <n v="4"/>
    <n v="7.5945042702019778"/>
    <n v="358.20745141119335"/>
    <n v="0.20169338480359986"/>
    <n v="657"/>
    <m/>
  </r>
  <r>
    <s v="Marathon"/>
    <s v="MRO"/>
    <x v="4"/>
    <n v="119"/>
    <n v="24.1"/>
    <n v="2.9000000000000004"/>
    <n v="46.833333333333336"/>
    <n v="281"/>
    <n v="191"/>
    <n v="66"/>
    <n v="4.3499999999999996"/>
    <n v="102.18333333333332"/>
    <n v="613.1"/>
    <n v="149.01666666666665"/>
    <n v="894.1"/>
    <n v="0.31428251873392238"/>
    <n v="0.42348754448398579"/>
    <n v="0.51459074733096088"/>
    <n v="6.1921708185053388E-2"/>
    <n v="138"/>
    <n v="0"/>
    <n v="321"/>
    <n v="1149"/>
    <n v="701"/>
    <n v="191.5"/>
    <n v="116.83333333333333"/>
    <n v="1.5647321428571428"/>
    <m/>
    <n v="18"/>
    <n v="109"/>
    <n v="119"/>
    <n v="0"/>
    <n v="246"/>
    <n v="16"/>
    <n v="27"/>
    <n v="89"/>
    <n v="1"/>
    <n v="133"/>
    <n v="0"/>
    <n v="0"/>
    <n v="0"/>
    <n v="0"/>
    <n v="0"/>
    <n v="1044"/>
    <n v="174"/>
    <n v="3271"/>
    <n v="1782"/>
    <n v="782"/>
    <n v="889"/>
    <n v="6724"/>
    <n v="10048"/>
    <n v="226.16666666666666"/>
    <n v="1357"/>
    <n v="44.427413411938097"/>
    <n v="7.4045689019896832"/>
    <m/>
    <n v="1143"/>
    <n v="2614"/>
    <n v="0"/>
    <n v="484.54541865957884"/>
    <n v="2893"/>
    <n v="0"/>
    <n v="536.2623933367106"/>
    <n v="0"/>
    <m/>
    <n v="0"/>
    <n v="228"/>
    <n v="0"/>
    <n v="42.263334144752861"/>
    <n v="5635"/>
    <n v="9554"/>
    <n v="0.18536550063488097"/>
    <n v="2206.0711461410424"/>
    <n v="47.104721981659267"/>
    <n v="7.8507869969432109"/>
    <m/>
    <n v="8930.0711461410428"/>
    <n v="893.00711461410435"/>
    <n v="0.13280891056128857"/>
    <n v="19.067767571831407"/>
    <n v="3.1779612619719018"/>
    <n v="143.5729537366548"/>
    <n v="23.9288256227758"/>
    <n v="91.532135393597372"/>
    <n v="110.59990296542878"/>
    <n v="235.10508913025217"/>
    <n v="15.255355898932894"/>
    <n v="18.433317160904796"/>
    <n v="39.184181521708695"/>
    <n v="4"/>
    <n v="9.1532135393597365"/>
    <n v="428.67550076001436"/>
    <n v="6.3753048893517905E-2"/>
    <n v="704"/>
    <m/>
  </r>
  <r>
    <s v="Marathon"/>
    <s v="MRO"/>
    <x v="5"/>
    <n v="129"/>
    <n v="32.498400000000004"/>
    <n v="6.5015999999999998"/>
    <n v="60.5"/>
    <n v="363"/>
    <n v="193"/>
    <n v="75.181600000000003"/>
    <n v="3.8184"/>
    <n v="111.16666666666666"/>
    <n v="667"/>
    <n v="171.66666666666666"/>
    <n v="1030"/>
    <n v="0.35242718446601939"/>
    <n v="0.35537190082644626"/>
    <n v="0.5371636363636364"/>
    <n v="0.10746446280991735"/>
    <n v="218"/>
    <n v="59"/>
    <n v="497"/>
    <n v="2159"/>
    <n v="1010"/>
    <n v="359.83333333333331"/>
    <n v="168.33333333333331"/>
    <n v="0.87902523933855514"/>
    <m/>
    <n v="-229"/>
    <n v="224"/>
    <n v="105"/>
    <n v="0"/>
    <n v="100"/>
    <n v="9"/>
    <n v="52"/>
    <n v="2"/>
    <n v="9"/>
    <n v="72"/>
    <n v="0"/>
    <n v="0"/>
    <n v="0"/>
    <n v="0"/>
    <n v="0"/>
    <n v="532"/>
    <n v="88.666666666666671"/>
    <n v="432"/>
    <n v="756"/>
    <n v="1587"/>
    <n v="2469"/>
    <n v="5244"/>
    <n v="13744"/>
    <n v="303.66666666666669"/>
    <n v="1822"/>
    <n v="45.260153677277714"/>
    <n v="7.5433589462129529"/>
    <m/>
    <n v="1247"/>
    <n v="2901"/>
    <n v="0"/>
    <n v="762.43544788371582"/>
    <n v="4974"/>
    <n v="0"/>
    <n v="1307.2574690705283"/>
    <n v="0"/>
    <m/>
    <n v="0"/>
    <n v="244"/>
    <n v="0"/>
    <n v="64.127628157058481"/>
    <n v="8004"/>
    <n v="10733"/>
    <n v="0.26281814818466592"/>
    <n v="3380.8205451113026"/>
    <n v="55.881331324153763"/>
    <n v="9.3135552206922938"/>
    <m/>
    <n v="8624.8205451113026"/>
    <n v="862.48205451113029"/>
    <n v="0.16447026211119953"/>
    <n v="14.255901727456699"/>
    <n v="2.3759836212427832"/>
    <n v="86.67768595041322"/>
    <n v="14.446280991735538"/>
    <n v="101.14148500143148"/>
    <n v="115.39738672888818"/>
    <n v="187.81917095184468"/>
    <n v="16.856914166905248"/>
    <n v="19.23289778814803"/>
    <n v="31.303195158640786"/>
    <n v="4"/>
    <n v="10.114148500143148"/>
    <n v="611.90598425866051"/>
    <n v="0.1166868772423075"/>
    <n v="617"/>
    <m/>
  </r>
  <r>
    <s v="Marathon"/>
    <s v="MRO"/>
    <x v="6"/>
    <n v="114"/>
    <n v="46"/>
    <n v="9"/>
    <n v="74"/>
    <n v="444"/>
    <n v="197"/>
    <n v="66"/>
    <n v="4"/>
    <n v="102.83333333333334"/>
    <n v="617"/>
    <n v="176.83333333333334"/>
    <n v="1061"/>
    <n v="0.41847313854853913"/>
    <n v="0.25675675675675674"/>
    <n v="0.6216216216216216"/>
    <n v="0.12162162162162163"/>
    <n v="256"/>
    <n v="68"/>
    <n v="485"/>
    <n v="2429"/>
    <n v="270"/>
    <n v="404.83333333333331"/>
    <n v="45"/>
    <n v="0.12505789717461788"/>
    <m/>
    <n v="-4"/>
    <n v="163"/>
    <n v="13"/>
    <n v="0"/>
    <n v="172"/>
    <n v="33"/>
    <n v="112"/>
    <n v="12"/>
    <n v="0"/>
    <n v="157"/>
    <n v="13"/>
    <n v="25"/>
    <n v="2"/>
    <n v="0"/>
    <n v="40"/>
    <n v="1354"/>
    <n v="225.66666666666666"/>
    <n v="157"/>
    <n v="51"/>
    <n v="885"/>
    <n v="2876"/>
    <n v="3969"/>
    <n v="15937"/>
    <n v="488.33333333333337"/>
    <n v="2930"/>
    <n v="32.635494880546069"/>
    <n v="5.4392491467576791"/>
    <m/>
    <n v="1503"/>
    <n v="1503"/>
    <n v="0"/>
    <n v="509.42782953951047"/>
    <n v="3904"/>
    <n v="0"/>
    <n v="1323.2243822503319"/>
    <n v="0"/>
    <m/>
    <n v="0"/>
    <n v="319"/>
    <n v="0"/>
    <n v="108.12207426686882"/>
    <n v="8860"/>
    <n v="10939"/>
    <n v="0.33894067168297437"/>
    <n v="3443.7742860567114"/>
    <n v="46.537490352117722"/>
    <n v="7.7562483920196206"/>
    <m/>
    <n v="7412.7742860567114"/>
    <n v="741.27742860567116"/>
    <n v="0.18676679985025729"/>
    <n v="10.017262548725286"/>
    <n v="1.669543758120881"/>
    <n v="53.635135135135137"/>
    <n v="8.9391891891891895"/>
    <n v="79.172985232663791"/>
    <n v="89.190247781389075"/>
    <n v="132.80812036779892"/>
    <n v="13.1954975387773"/>
    <n v="14.86504129689818"/>
    <n v="22.134686727966489"/>
    <n v="4"/>
    <n v="7.9172985232663793"/>
    <n v="585.88009072171212"/>
    <n v="0.14761403142396376"/>
    <n v="793"/>
    <m/>
  </r>
  <r>
    <s v="Marathon"/>
    <s v="MRO"/>
    <x v="7"/>
    <n v="113"/>
    <n v="57"/>
    <n v="11"/>
    <n v="86.833333333333329"/>
    <n v="521"/>
    <n v="182"/>
    <n v="46"/>
    <n v="4"/>
    <n v="80.333333333333329"/>
    <n v="482"/>
    <n v="167.16666666666666"/>
    <n v="1003"/>
    <n v="0.51944167497507476"/>
    <n v="0.21689059500959693"/>
    <n v="0.65642994241842612"/>
    <n v="0.12667946257197699"/>
    <n v="340"/>
    <n v="93"/>
    <n v="569"/>
    <n v="3167"/>
    <n v="738"/>
    <n v="527.83333333333337"/>
    <n v="123.00000000000006"/>
    <n v="0.30382873610539329"/>
    <m/>
    <n v="-24"/>
    <n v="290"/>
    <n v="5"/>
    <n v="0"/>
    <n v="271"/>
    <n v="36"/>
    <n v="153"/>
    <n v="6"/>
    <n v="2"/>
    <n v="197"/>
    <n v="4"/>
    <n v="48"/>
    <n v="0"/>
    <n v="1"/>
    <n v="53"/>
    <n v="1771"/>
    <n v="295.16666666666663"/>
    <n v="202"/>
    <n v="26"/>
    <n v="1140"/>
    <n v="3532"/>
    <n v="4900"/>
    <n v="14113"/>
    <n v="609.5"/>
    <n v="3657"/>
    <n v="23.15504511894996"/>
    <n v="3.8591741864916598"/>
    <m/>
    <n v="1737"/>
    <n v="654"/>
    <n v="0"/>
    <n v="268.07800304861945"/>
    <n v="1679"/>
    <n v="0"/>
    <n v="688.23083657283189"/>
    <n v="0"/>
    <m/>
    <n v="0"/>
    <n v="309"/>
    <n v="0"/>
    <n v="126.66070786242112"/>
    <n v="7896"/>
    <n v="10006"/>
    <n v="0.40990520343825604"/>
    <n v="2819.9695474838727"/>
    <n v="32.475656976781643"/>
    <n v="5.4126094961302735"/>
    <m/>
    <n v="7719.9695474838727"/>
    <n v="771.99695474838734"/>
    <n v="0.15755039892824232"/>
    <n v="8.8905599395207755"/>
    <n v="1.4817599899201293"/>
    <n v="56.429942418426108"/>
    <n v="9.4049904030710181"/>
    <n v="55.630702095731607"/>
    <n v="64.521262035252377"/>
    <n v="112.06064451415772"/>
    <n v="9.2717836826219333"/>
    <n v="10.753543672542062"/>
    <n v="18.676774085692951"/>
    <n v="4"/>
    <n v="5.5630702095731603"/>
    <n v="483.05992986460274"/>
    <n v="9.8583659156041378E-2"/>
    <n v="610"/>
    <m/>
  </r>
  <r>
    <s v="Marathon"/>
    <s v="MRO"/>
    <x v="8"/>
    <n v="128"/>
    <n v="62"/>
    <n v="14"/>
    <n v="97.333333333333329"/>
    <n v="584"/>
    <n v="158"/>
    <n v="29"/>
    <n v="4"/>
    <n v="59.333333333333329"/>
    <n v="356"/>
    <n v="156.66666666666666"/>
    <n v="940"/>
    <n v="0.62127659574468086"/>
    <n v="0.21917808219178081"/>
    <n v="0.63698630136986301"/>
    <n v="0.14383561643835618"/>
    <n v="253"/>
    <n v="80"/>
    <n v="511"/>
    <n v="2509"/>
    <n v="-658"/>
    <n v="418.16666666666669"/>
    <n v="-109.66666666666669"/>
    <n v="-0.20776760341016737"/>
    <m/>
    <n v="-191"/>
    <n v="394"/>
    <n v="1"/>
    <n v="0"/>
    <n v="204"/>
    <n v="-109"/>
    <n v="122"/>
    <n v="0"/>
    <n v="1"/>
    <n v="14"/>
    <n v="-31"/>
    <n v="57"/>
    <n v="0"/>
    <n v="0"/>
    <n v="26"/>
    <n v="444"/>
    <n v="74"/>
    <n v="61"/>
    <n v="4"/>
    <n v="959"/>
    <n v="1477"/>
    <n v="2501"/>
    <n v="11370"/>
    <n v="594.83333333333326"/>
    <n v="3569"/>
    <n v="19.114597926590083"/>
    <n v="3.1857663210983467"/>
    <s v="Includes costs incurred whether capitalized or expensed. "/>
    <n v="1306"/>
    <n v="590"/>
    <n v="0"/>
    <n v="324.80969880080454"/>
    <n v="171"/>
    <n v="0"/>
    <n v="94.139760160911152"/>
    <n v="0"/>
    <m/>
    <n v="0"/>
    <n v="358"/>
    <n v="0"/>
    <n v="197.08791893336954"/>
    <n v="4443"/>
    <n v="5014"/>
    <n v="0.55052491322170261"/>
    <n v="1922.0373778950852"/>
    <n v="19.746959361935808"/>
    <n v="3.2911598936559678"/>
    <m/>
    <n v="4423.0373778950852"/>
    <n v="442.30373778950855"/>
    <n v="0.17685075481387788"/>
    <n v="4.5442164841387864"/>
    <n v="0.75736941402313107"/>
    <n v="25.695205479452056"/>
    <n v="4.2825342465753424"/>
    <n v="38.861557288525887"/>
    <n v="43.405773772664674"/>
    <n v="64.556762767977943"/>
    <n v="6.4769262147543145"/>
    <n v="7.2342956287774456"/>
    <n v="10.759460461329656"/>
    <n v="4"/>
    <n v="3.8861557288525885"/>
    <n v="378.25249094165196"/>
    <n v="0.15124050017659016"/>
    <n v="437"/>
    <m/>
  </r>
  <r>
    <s v="Marathon"/>
    <s v="MRO"/>
    <x v="9"/>
    <n v="115"/>
    <n v="48"/>
    <n v="14"/>
    <n v="81.166666666666671"/>
    <n v="487"/>
    <n v="163"/>
    <n v="13"/>
    <n v="4"/>
    <n v="44.166666666666671"/>
    <n v="265"/>
    <n v="125.33333333333334"/>
    <n v="752"/>
    <n v="0.64760638297872342"/>
    <n v="0.23613963039014374"/>
    <n v="0.59137577002053388"/>
    <n v="0.17248459958932238"/>
    <n v="325"/>
    <n v="92"/>
    <n v="640"/>
    <n v="3142"/>
    <n v="633"/>
    <n v="523.66666666666663"/>
    <n v="105.49999999999994"/>
    <n v="0.25229174970107598"/>
    <m/>
    <n v="-146"/>
    <n v="362"/>
    <n v="61"/>
    <n v="0"/>
    <n v="277"/>
    <n v="-97"/>
    <n v="189"/>
    <n v="12"/>
    <n v="0"/>
    <n v="104"/>
    <n v="-51"/>
    <n v="54"/>
    <n v="12"/>
    <n v="0"/>
    <n v="15"/>
    <n v="991"/>
    <n v="165.16666666666666"/>
    <n v="642"/>
    <n v="276"/>
    <n v="525"/>
    <n v="456"/>
    <n v="1899"/>
    <n v="9300"/>
    <n v="534.33333333333326"/>
    <n v="3206"/>
    <n v="17.404865876481601"/>
    <n v="2.9008109794135994"/>
    <m/>
    <n v="973"/>
    <n v="484"/>
    <m/>
    <n v="289.12878455072189"/>
    <n v="84"/>
    <n v="0"/>
    <n v="50.179375831117021"/>
    <n v="0"/>
    <m/>
    <n v="0"/>
    <n v="402"/>
    <n v="0"/>
    <n v="240.14415576320289"/>
    <n v="3306"/>
    <n v="3584"/>
    <n v="0.59737352179901215"/>
    <n v="1552.4523161450418"/>
    <n v="19.126722580842404"/>
    <n v="3.1877870968070674"/>
    <m/>
    <n v="3451.4523161450416"/>
    <n v="345.14523161450416"/>
    <n v="0.18175104350421492"/>
    <n v="4.2523026482279773"/>
    <n v="0.70871710803799626"/>
    <n v="23.396303901437371"/>
    <n v="3.8993839835728954"/>
    <n v="36.531588457324006"/>
    <n v="40.78389110555198"/>
    <n v="59.927892358761376"/>
    <n v="6.0885980762206664"/>
    <n v="6.7973151842586628"/>
    <n v="9.9879820597935627"/>
    <n v="4"/>
    <n v="3.6531588457324005"/>
    <n v="296.5147263119465"/>
    <n v="0.15614256256553266"/>
    <n v="249"/>
    <m/>
  </r>
  <r>
    <s v="Occidental Petroeum"/>
    <s v="OXY"/>
    <x v="0"/>
    <n v="216"/>
    <n v="95"/>
    <n v="0"/>
    <n v="131"/>
    <n v="786"/>
    <n v="45"/>
    <n v="69"/>
    <n v="0"/>
    <n v="76.5"/>
    <n v="459"/>
    <n v="207.5"/>
    <n v="1245"/>
    <n v="0.63132530120481922"/>
    <n v="0.27480916030534353"/>
    <n v="0.72519083969465647"/>
    <n v="0"/>
    <n v="301"/>
    <n v="0"/>
    <n v="675"/>
    <n v="2481"/>
    <m/>
    <n v="413.5"/>
    <m/>
    <m/>
    <m/>
    <n v="35"/>
    <n v="5"/>
    <n v="18"/>
    <n v="406"/>
    <n v="464"/>
    <n v="-20"/>
    <n v="1"/>
    <n v="47"/>
    <n v="114"/>
    <n v="142"/>
    <n v="0"/>
    <n v="0"/>
    <n v="0"/>
    <n v="0"/>
    <n v="0"/>
    <n v="1316"/>
    <n v="219.33333333333331"/>
    <n v="167"/>
    <n v="626"/>
    <n v="39"/>
    <n v="1268"/>
    <n v="2100"/>
    <m/>
    <m/>
    <m/>
    <m/>
    <m/>
    <m/>
    <m/>
    <m/>
    <m/>
    <m/>
    <m/>
    <m/>
    <m/>
    <m/>
    <m/>
    <m/>
    <m/>
    <m/>
    <m/>
    <n v="0"/>
    <n v="0"/>
    <m/>
    <m/>
    <m/>
    <m/>
    <m/>
    <m/>
    <m/>
    <n v="0"/>
    <m/>
    <m/>
    <m/>
    <m/>
    <m/>
    <m/>
    <m/>
    <m/>
    <m/>
    <m/>
    <n v="4"/>
    <m/>
    <m/>
    <m/>
    <m/>
    <m/>
  </r>
  <r>
    <s v="Occidental Petroeum"/>
    <s v="OXY"/>
    <x v="1"/>
    <n v="215"/>
    <n v="96"/>
    <n v="0"/>
    <n v="131.83333333333334"/>
    <n v="791"/>
    <n v="92"/>
    <n v="75"/>
    <n v="0"/>
    <n v="90.333333333333329"/>
    <n v="542"/>
    <n v="222.16666666666669"/>
    <n v="1333"/>
    <n v="0.5933983495873969"/>
    <n v="0.27180783817951959"/>
    <n v="0.7281921618204803"/>
    <n v="0"/>
    <n v="338"/>
    <n v="0"/>
    <n v="1287"/>
    <n v="3315"/>
    <n v="834"/>
    <n v="552.5"/>
    <n v="139"/>
    <n v="0.33615477629987905"/>
    <m/>
    <n v="-490"/>
    <n v="76"/>
    <n v="832"/>
    <n v="281"/>
    <n v="699"/>
    <n v="-243"/>
    <n v="11"/>
    <n v="71"/>
    <n v="99"/>
    <n v="-62"/>
    <n v="0"/>
    <n v="0"/>
    <n v="0"/>
    <n v="0"/>
    <n v="0"/>
    <n v="327"/>
    <n v="54.5"/>
    <n v="1362"/>
    <n v="1819"/>
    <n v="130"/>
    <n v="1740"/>
    <n v="5051"/>
    <m/>
    <m/>
    <m/>
    <m/>
    <m/>
    <m/>
    <m/>
    <m/>
    <m/>
    <m/>
    <m/>
    <m/>
    <m/>
    <m/>
    <m/>
    <m/>
    <m/>
    <m/>
    <m/>
    <n v="0"/>
    <n v="0"/>
    <m/>
    <m/>
    <m/>
    <m/>
    <m/>
    <m/>
    <m/>
    <n v="0"/>
    <m/>
    <m/>
    <m/>
    <m/>
    <m/>
    <m/>
    <m/>
    <m/>
    <m/>
    <m/>
    <n v="4"/>
    <m/>
    <m/>
    <m/>
    <m/>
    <m/>
  </r>
  <r>
    <s v="Occidental Petroeum"/>
    <s v="OXY"/>
    <x v="2"/>
    <n v="232"/>
    <n v="81"/>
    <n v="18"/>
    <n v="137.66666666666666"/>
    <n v="826"/>
    <n v="106"/>
    <n v="65"/>
    <n v="4"/>
    <n v="86.666666666666671"/>
    <n v="520"/>
    <n v="224.33333333333331"/>
    <n v="1346"/>
    <n v="0.61367013372956913"/>
    <n v="0.28087167070217917"/>
    <n v="0.58837772397094434"/>
    <n v="0.13075060532687652"/>
    <n v="320"/>
    <n v="0"/>
    <n v="868"/>
    <n v="2788"/>
    <n v="-527"/>
    <n v="464.66666666666663"/>
    <n v="-87.833333333333371"/>
    <n v="-0.15897435897435905"/>
    <m/>
    <n v="-688"/>
    <n v="362"/>
    <n v="67"/>
    <n v="137"/>
    <n v="-122"/>
    <n v="35"/>
    <n v="16"/>
    <n v="13"/>
    <n v="47"/>
    <n v="111"/>
    <n v="23"/>
    <n v="13"/>
    <n v="2"/>
    <n v="9"/>
    <n v="47"/>
    <n v="826"/>
    <n v="137.66666666666669"/>
    <n v="100"/>
    <n v="569"/>
    <n v="131"/>
    <n v="1223"/>
    <n v="2023"/>
    <n v="9174"/>
    <n v="411.5"/>
    <n v="2469"/>
    <n v="22.294046172539488"/>
    <n v="3.7156743620899149"/>
    <m/>
    <n v="1841"/>
    <n v="1300"/>
    <n v="0"/>
    <n v="730.36697321392705"/>
    <n v="1400"/>
    <n v="0"/>
    <n v="786.54904807653691"/>
    <n v="0"/>
    <n v="399"/>
    <n v="399"/>
    <n v="164"/>
    <n v="0"/>
    <n v="92.138602774680038"/>
    <n v="11009"/>
    <n v="12025"/>
    <n v="0.56182074862609777"/>
    <n v="3849.0546240651438"/>
    <n v="27.959234557373929"/>
    <n v="4.6598724262289872"/>
    <m/>
    <n v="5872.0546240651438"/>
    <n v="587.20546240651436"/>
    <n v="0.29026468729931504"/>
    <n v="4.2654149811611219"/>
    <n v="0.71090249686018692"/>
    <n v="14.694915254237289"/>
    <n v="2.4491525423728815"/>
    <n v="50.253280729913413"/>
    <n v="54.518695711074535"/>
    <n v="64.948195984150701"/>
    <n v="8.3755467883189016"/>
    <n v="9.0864492851790892"/>
    <n v="10.824699330691782"/>
    <n v="4"/>
    <n v="5.025328072991341"/>
    <n v="691.82016471514123"/>
    <n v="0.34197734291405896"/>
    <n v="51"/>
    <m/>
  </r>
  <r>
    <s v="Occidental Petroeum"/>
    <s v="OXY"/>
    <x v="3"/>
    <n v="247"/>
    <n v="80"/>
    <n v="19"/>
    <n v="140.16666666666666"/>
    <n v="841"/>
    <n v="184"/>
    <n v="83"/>
    <n v="5"/>
    <n v="118.66666666666667"/>
    <n v="712"/>
    <n v="258.83333333333331"/>
    <n v="1553"/>
    <n v="0.54153251770766264"/>
    <n v="0.29369797859690844"/>
    <n v="0.57074910820451852"/>
    <n v="0.13555291319857313"/>
    <n v="408"/>
    <n v="0"/>
    <n v="1027"/>
    <n v="3475"/>
    <n v="687"/>
    <n v="579.16666666666663"/>
    <n v="114.5"/>
    <n v="0.24641319942611192"/>
    <m/>
    <n v="-55"/>
    <n v="7"/>
    <n v="186"/>
    <n v="344"/>
    <n v="482"/>
    <n v="0"/>
    <n v="1"/>
    <n v="72"/>
    <n v="82"/>
    <n v="155"/>
    <n v="8"/>
    <n v="0"/>
    <n v="11"/>
    <n v="16"/>
    <n v="35"/>
    <n v="1622"/>
    <n v="270.33333333333331"/>
    <n v="2290"/>
    <n v="2084"/>
    <n v="177"/>
    <n v="1674"/>
    <n v="6225"/>
    <n v="13299"/>
    <n v="462.5"/>
    <n v="2775"/>
    <n v="28.754594594594593"/>
    <n v="4.7924324324324328"/>
    <m/>
    <n v="2189"/>
    <n v="1396"/>
    <n v="0"/>
    <n v="685.35986784919351"/>
    <n v="2400"/>
    <n v="0"/>
    <n v="1178.2691137808486"/>
    <n v="0"/>
    <n v="454"/>
    <n v="454"/>
    <n v="161"/>
    <n v="0"/>
    <n v="79.042219716131925"/>
    <n v="14276"/>
    <n v="15747"/>
    <n v="0.49094546407535355"/>
    <n v="4585.6712013461738"/>
    <n v="32.715846858593395"/>
    <n v="5.4526411430988988"/>
    <m/>
    <n v="10810.671201346173"/>
    <n v="1081.0671201346174"/>
    <n v="0.17366540082483814"/>
    <n v="7.7127261840757493"/>
    <n v="1.2854543640126248"/>
    <n v="44.411414982164096"/>
    <n v="7.4019024970273488"/>
    <n v="61.470441453187988"/>
    <n v="69.183167637263736"/>
    <n v="105.88185643535209"/>
    <n v="10.245073575531332"/>
    <n v="11.530527939543957"/>
    <n v="17.64697607255868"/>
    <n v="4"/>
    <n v="6.1470441453187989"/>
    <n v="861.61068770218492"/>
    <n v="0.13841135545416625"/>
    <n v="73"/>
    <m/>
  </r>
  <r>
    <s v="Occidental Petroeum"/>
    <s v="OXY"/>
    <x v="4"/>
    <n v="285"/>
    <n v="84"/>
    <n v="25"/>
    <n v="156.5"/>
    <n v="939"/>
    <n v="162"/>
    <n v="80"/>
    <n v="4"/>
    <n v="111"/>
    <n v="666"/>
    <n v="267.5"/>
    <n v="1605"/>
    <n v="0.58504672897196264"/>
    <n v="0.30351437699680511"/>
    <n v="0.53674121405750796"/>
    <n v="0.15974440894568689"/>
    <n v="239"/>
    <n v="35"/>
    <n v="726"/>
    <n v="2370"/>
    <n v="-1105"/>
    <n v="395"/>
    <n v="-184.16666666666663"/>
    <n v="-0.3179856115107913"/>
    <m/>
    <n v="-369"/>
    <n v="35"/>
    <n v="728"/>
    <n v="222"/>
    <n v="616"/>
    <n v="-71"/>
    <n v="8"/>
    <n v="78"/>
    <n v="135"/>
    <n v="150"/>
    <n v="0"/>
    <n v="1"/>
    <n v="2"/>
    <n v="10"/>
    <n v="13"/>
    <n v="1594"/>
    <n v="265.66666666666669"/>
    <n v="1311"/>
    <n v="3185"/>
    <n v="400"/>
    <n v="4100"/>
    <n v="8996"/>
    <n v="17244"/>
    <n v="673.66666666666674"/>
    <n v="4042"/>
    <n v="25.597229094507668"/>
    <n v="4.2662048490846116"/>
    <m/>
    <n v="2922"/>
    <n v="1523"/>
    <n v="0"/>
    <n v="826.12559108644734"/>
    <n v="2900"/>
    <n v="0"/>
    <n v="1573.0559515106352"/>
    <n v="0"/>
    <n v="567"/>
    <n v="567"/>
    <n v="315"/>
    <n v="0"/>
    <n v="170.86642231925865"/>
    <n v="18419"/>
    <n v="19866"/>
    <n v="0.54243308672780521"/>
    <n v="6059.0479649163408"/>
    <n v="38.71596143716512"/>
    <n v="6.4526602395275194"/>
    <s v="LOE = Production costs + Other Operating expenses + Exploration expnse from costs incurred - Exploration expense"/>
    <n v="15055.047964916341"/>
    <n v="1505.5047964916341"/>
    <n v="0.16735268969449024"/>
    <n v="9.6198389552181087"/>
    <n v="1.6033064925363516"/>
    <n v="57.482428115015978"/>
    <n v="9.5804046858359957"/>
    <n v="64.313190531672788"/>
    <n v="73.933029486890902"/>
    <n v="121.79561864668877"/>
    <n v="10.71886508861213"/>
    <n v="12.322171581148481"/>
    <n v="20.299269774448128"/>
    <n v="4"/>
    <n v="6.4313190531672788"/>
    <n v="1006.5014318206792"/>
    <n v="0.1118832182993196"/>
    <n v="189"/>
    <m/>
  </r>
  <r>
    <s v="Occidental Petroeum"/>
    <s v="OXY"/>
    <x v="5"/>
    <n v="300"/>
    <n v="93"/>
    <n v="27"/>
    <n v="170"/>
    <n v="1020"/>
    <n v="170"/>
    <n v="78"/>
    <n v="3"/>
    <n v="109.33333333333333"/>
    <n v="656"/>
    <n v="279.33333333333331"/>
    <n v="1676"/>
    <n v="0.60859188544152742"/>
    <n v="0.29411764705882354"/>
    <n v="0.54705882352941182"/>
    <n v="0.1588235294117647"/>
    <n v="266"/>
    <n v="32"/>
    <n v="501"/>
    <n v="2289"/>
    <n v="-81"/>
    <n v="381.5"/>
    <n v="-13.5"/>
    <n v="-3.4177215189873419E-2"/>
    <m/>
    <n v="-748"/>
    <n v="19"/>
    <n v="236"/>
    <n v="317"/>
    <n v="-176"/>
    <n v="-70"/>
    <n v="7"/>
    <n v="54"/>
    <n v="143"/>
    <n v="134"/>
    <n v="1"/>
    <n v="0"/>
    <n v="1"/>
    <n v="16"/>
    <n v="18"/>
    <n v="736"/>
    <n v="122.66666666666667"/>
    <n v="573"/>
    <n v="1333"/>
    <n v="379"/>
    <n v="3271"/>
    <n v="5556"/>
    <n v="20777"/>
    <n v="658.66666666666663"/>
    <n v="3952"/>
    <n v="31.544028340080974"/>
    <n v="5.2573380566801617"/>
    <m/>
    <n v="1710"/>
    <n v="1366"/>
    <n v="0"/>
    <n v="771.45929850568382"/>
    <n v="2300"/>
    <n v="0"/>
    <n v="1298.9431819641823"/>
    <n v="0"/>
    <n v="644"/>
    <n v="644"/>
    <n v="290"/>
    <n v="0"/>
    <n v="163.77979250852732"/>
    <n v="14997"/>
    <n v="16161"/>
    <n v="0.56475790520181834"/>
    <n v="4588.1822729783935"/>
    <n v="26.989307488108196"/>
    <n v="4.4982179146846999"/>
    <s v="LOE = Production costs + Other Operating expenses + Exploration expnse from costs incurred - Exploration expense"/>
    <n v="10144.182272978393"/>
    <n v="1014.4182272978393"/>
    <n v="0.18258067445965429"/>
    <n v="5.9671660429284668"/>
    <n v="0.99452767382141105"/>
    <n v="32.682352941176468"/>
    <n v="5.447058823529412"/>
    <n v="58.533335828189166"/>
    <n v="64.500501871117635"/>
    <n v="91.215688769365642"/>
    <n v="9.7555559713648616"/>
    <n v="10.750083645186272"/>
    <n v="15.202614794894274"/>
    <n v="4"/>
    <n v="5.8533335828189168"/>
    <n v="995.06670907921591"/>
    <n v="0.17909767981987326"/>
    <n v="124"/>
    <m/>
  </r>
  <r>
    <s v="Occidental Petroeum"/>
    <s v="OXY"/>
    <x v="6"/>
    <n v="289"/>
    <n v="97"/>
    <n v="28"/>
    <n v="173.16666666666666"/>
    <n v="1039"/>
    <n v="163"/>
    <n v="75"/>
    <n v="3"/>
    <n v="105.16666666666667"/>
    <n v="631"/>
    <n v="278.33333333333331"/>
    <n v="1670"/>
    <n v="0.6221556886227545"/>
    <n v="0.27815206929740133"/>
    <n v="0.56015399422521661"/>
    <n v="0.16169393647738212"/>
    <n v="309"/>
    <n v="53"/>
    <n v="517"/>
    <n v="2689"/>
    <n v="400"/>
    <n v="448.16666666666669"/>
    <n v="66.666666666666686"/>
    <n v="0.17474879860200965"/>
    <m/>
    <n v="-94"/>
    <n v="14"/>
    <n v="34"/>
    <n v="303"/>
    <n v="257"/>
    <n v="-44"/>
    <n v="4"/>
    <n v="25"/>
    <n v="214"/>
    <n v="199"/>
    <n v="66"/>
    <n v="0"/>
    <n v="7"/>
    <n v="13"/>
    <n v="86"/>
    <n v="1967"/>
    <n v="327.83333333333337"/>
    <n v="151"/>
    <n v="343"/>
    <n v="293"/>
    <n v="2659"/>
    <n v="3446"/>
    <n v="17998"/>
    <n v="716.16666666666674"/>
    <n v="4297"/>
    <n v="25.131021643006747"/>
    <n v="4.1885036071677915"/>
    <m/>
    <n v="2039"/>
    <n v="1544"/>
    <n v="0"/>
    <n v="891.1054717386379"/>
    <n v="1800"/>
    <n v="0"/>
    <n v="1038.8535292289821"/>
    <n v="0"/>
    <n v="693"/>
    <n v="693"/>
    <n v="375"/>
    <n v="0"/>
    <n v="216.42781858937124"/>
    <n v="15052"/>
    <n v="16226"/>
    <n v="0.57714084957165668"/>
    <n v="4878.3868195569912"/>
    <n v="28.171627446912368"/>
    <n v="4.695271241152061"/>
    <s v="LOE = Production costs + Other Operating expenses + Exploration expnse from costs incurred - Exploration expense"/>
    <n v="8324.3868195569921"/>
    <n v="832.43868195569928"/>
    <n v="0.24156665175731262"/>
    <n v="4.8071531200521616"/>
    <n v="0.80119218667536019"/>
    <n v="19.899903753609241"/>
    <n v="3.31665062560154"/>
    <n v="53.302649089919115"/>
    <n v="58.109802209971278"/>
    <n v="73.202552843528352"/>
    <n v="8.8837748483198524"/>
    <n v="9.6849670349952124"/>
    <n v="12.200425473921392"/>
    <n v="4"/>
    <n v="5.3302649089919116"/>
    <n v="923.02420674043265"/>
    <n v="0.26785380346501236"/>
    <n v="140"/>
    <m/>
  </r>
  <r>
    <s v="Occidental Petroeum"/>
    <s v="OXY"/>
    <x v="7"/>
    <n v="173"/>
    <n v="67"/>
    <n v="20"/>
    <n v="115.83333333333333"/>
    <n v="695"/>
    <n v="158"/>
    <n v="74"/>
    <n v="2"/>
    <n v="102.33333333333333"/>
    <n v="614"/>
    <n v="218.16666666666666"/>
    <n v="1309"/>
    <n v="0.53093964858670739"/>
    <n v="0.24892086330935251"/>
    <n v="0.57841726618705036"/>
    <n v="0.17266187050359713"/>
    <n v="454"/>
    <n v="75"/>
    <n v="586"/>
    <n v="3760"/>
    <n v="1071"/>
    <n v="626.66666666666663"/>
    <n v="178.49999999999994"/>
    <n v="0.39828932688731855"/>
    <m/>
    <n v="-111"/>
    <n v="27"/>
    <n v="46"/>
    <n v="284"/>
    <n v="246"/>
    <n v="-54"/>
    <n v="15"/>
    <n v="33"/>
    <n v="224"/>
    <n v="218"/>
    <n v="6"/>
    <n v="2"/>
    <n v="3"/>
    <n v="6"/>
    <n v="17"/>
    <n v="1656"/>
    <n v="276"/>
    <n v="842"/>
    <n v="771"/>
    <n v="379"/>
    <n v="3665"/>
    <n v="5657"/>
    <n v="14659"/>
    <n v="726.5"/>
    <n v="4359"/>
    <n v="20.177563661390227"/>
    <n v="3.3629272768983713"/>
    <m/>
    <n v="2271"/>
    <n v="1503"/>
    <n v="0"/>
    <n v="726.3110566837122"/>
    <n v="2900"/>
    <n v="0"/>
    <n v="1401.398579096983"/>
    <n v="0"/>
    <n v="529"/>
    <n v="529"/>
    <n v="399"/>
    <n v="0"/>
    <n v="192.8131148481711"/>
    <n v="13910"/>
    <n v="15283"/>
    <n v="0.48324088934378723"/>
    <n v="5120.5227506288666"/>
    <n v="44.205951803990217"/>
    <n v="7.367658633998369"/>
    <m/>
    <n v="10777.522750628867"/>
    <n v="1077.7522750628866"/>
    <n v="0.19051657681861173"/>
    <n v="9.3043361875932664"/>
    <n v="1.5507226979322108"/>
    <n v="48.83741007194245"/>
    <n v="8.1395683453237417"/>
    <n v="64.383515465380441"/>
    <n v="73.687851652973706"/>
    <n v="113.2209255373229"/>
    <n v="10.730585910896741"/>
    <n v="12.281308608828951"/>
    <n v="18.870154256220481"/>
    <n v="4"/>
    <n v="6.4383515465380441"/>
    <n v="745.77572080732341"/>
    <n v="0.13183237065711922"/>
    <n v="141"/>
    <m/>
  </r>
  <r>
    <s v="Occidental Petroeum"/>
    <s v="OXY"/>
    <x v="8"/>
    <n v="155"/>
    <n v="73"/>
    <n v="20"/>
    <n v="118.83333333333333"/>
    <n v="713"/>
    <n v="205"/>
    <n v="86"/>
    <n v="7"/>
    <n v="127.16666666666666"/>
    <n v="763"/>
    <n v="246"/>
    <n v="1476"/>
    <n v="0.48306233062330622"/>
    <n v="0.21739130434782608"/>
    <n v="0.61430575035063117"/>
    <n v="0.16830294530154277"/>
    <n v="242"/>
    <n v="45"/>
    <n v="206"/>
    <n v="1928"/>
    <n v="-1832"/>
    <n v="321.33333333333331"/>
    <n v="-305.33333333333331"/>
    <n v="-0.48723404255319147"/>
    <m/>
    <n v="-600"/>
    <n v="0"/>
    <n v="0"/>
    <n v="123"/>
    <n v="-477"/>
    <n v="-220"/>
    <n v="0"/>
    <n v="0"/>
    <n v="81"/>
    <n v="-139"/>
    <n v="-28"/>
    <n v="0"/>
    <n v="0"/>
    <n v="12"/>
    <n v="-16"/>
    <n v="-1407"/>
    <n v="-234.5"/>
    <n v="25"/>
    <n v="37"/>
    <n v="74"/>
    <n v="2880"/>
    <n v="3016"/>
    <n v="12119"/>
    <n v="369.33333333333337"/>
    <n v="2216"/>
    <n v="32.813176895306853"/>
    <n v="5.4688628158844761"/>
    <m/>
    <n v="1571"/>
    <n v="1270"/>
    <n v="0"/>
    <n v="554.04176005870988"/>
    <n v="1000"/>
    <n v="0"/>
    <n v="436.2533543769369"/>
    <n v="0"/>
    <n v="307"/>
    <n v="307"/>
    <n v="384"/>
    <n v="0"/>
    <n v="167.52128808074377"/>
    <n v="8304"/>
    <n v="9195"/>
    <n v="0.43625335437693691"/>
    <n v="3035.8164025163906"/>
    <n v="25.546842096912123"/>
    <n v="4.2578070161520207"/>
    <m/>
    <n v="6051.8164025163906"/>
    <n v="605.18164025163912"/>
    <n v="0.20065704252375302"/>
    <n v="5.0926926248384783"/>
    <n v="0.84878210413974631"/>
    <n v="25.380084151472651"/>
    <n v="4.2300140252454419"/>
    <n v="58.360018992218976"/>
    <n v="63.452711617057453"/>
    <n v="83.740103143691627"/>
    <n v="9.7266698320364959"/>
    <n v="10.575451936176242"/>
    <n v="13.956683857281938"/>
    <n v="4"/>
    <n v="5.8360018992218974"/>
    <n v="693.51155902420214"/>
    <n v="0.22994415087009354"/>
    <n v="76"/>
    <m/>
  </r>
  <r>
    <s v="Occidental Petroeum"/>
    <s v="OXY"/>
    <x v="9"/>
    <n v="132"/>
    <n v="69"/>
    <n v="19"/>
    <n v="110"/>
    <n v="660"/>
    <n v="217"/>
    <n v="74"/>
    <n v="11"/>
    <n v="121.16666666666666"/>
    <n v="727"/>
    <n v="231.16666666666666"/>
    <n v="1387"/>
    <n v="0.47584715212689255"/>
    <n v="0.2"/>
    <n v="0.62727272727272732"/>
    <n v="0.17272727272727273"/>
    <n v="290"/>
    <n v="70"/>
    <n v="337"/>
    <n v="2497"/>
    <n v="569"/>
    <n v="416.16666666666669"/>
    <n v="94.833333333333371"/>
    <n v="0.29512448132780095"/>
    <m/>
    <n v="-1.9E-2"/>
    <n v="0"/>
    <n v="128"/>
    <n v="138"/>
    <n v="265.98099999999999"/>
    <n v="-90"/>
    <n v="0"/>
    <n v="90"/>
    <n v="114"/>
    <n v="114"/>
    <n v="1"/>
    <n v="0"/>
    <n v="26"/>
    <n v="28"/>
    <n v="55"/>
    <n v="1279.981"/>
    <n v="213.33016666666666"/>
    <n v="1265"/>
    <n v="797"/>
    <n v="13"/>
    <n v="1417"/>
    <n v="3492"/>
    <n v="12165"/>
    <n v="254.83016666666666"/>
    <n v="1528.981"/>
    <n v="47.737676269358481"/>
    <n v="7.9562793782264132"/>
    <m/>
    <n v="1335"/>
    <n v="1330"/>
    <n v="0"/>
    <n v="574.82620631256907"/>
    <n v="300"/>
    <n v="0"/>
    <n v="129.66004653666974"/>
    <n v="0"/>
    <n v="240"/>
    <n v="240"/>
    <n v="376"/>
    <n v="0"/>
    <n v="162.50725832595938"/>
    <n v="6377"/>
    <n v="7021"/>
    <n v="0.43220015512223242"/>
    <n v="2441.9935111751984"/>
    <n v="22.19994101068362"/>
    <n v="3.6999901684472705"/>
    <m/>
    <n v="5933.9935111751984"/>
    <n v="593.39935111751981"/>
    <n v="0.1699310856579381"/>
    <n v="5.3945395556138163"/>
    <n v="0.89908992593563608"/>
    <n v="31.745454545454546"/>
    <n v="5.290909090909091"/>
    <n v="69.937617280042105"/>
    <n v="75.332156835655923"/>
    <n v="101.68307182549665"/>
    <n v="11.656269546673684"/>
    <n v="12.55535947260932"/>
    <n v="16.947178637582773"/>
    <n v="4"/>
    <n v="6.9937617280042108"/>
    <n v="769.31379008046315"/>
    <n v="0.22030750002304214"/>
    <n v="56"/>
    <m/>
  </r>
  <r>
    <s v="Pioneer Natural Resources"/>
    <s v="PXD"/>
    <x v="0"/>
    <n v="132.84"/>
    <n v="6.8040000000000003"/>
    <n v="6.7709999999999999"/>
    <n v="35.715000000000003"/>
    <n v="214.29"/>
    <n v="18.249000000000002"/>
    <n v="2.48"/>
    <n v="0.13600000000000001"/>
    <n v="5.6575000000000006"/>
    <n v="33.945000000000007"/>
    <n v="41.372500000000002"/>
    <n v="248.23500000000001"/>
    <n v="0.86325457731584987"/>
    <n v="0.61990760184796312"/>
    <n v="0.19050818983620327"/>
    <n v="0.18958420831583367"/>
    <n v="154.81"/>
    <n v="58.209000000000003"/>
    <n v="926.97500000000002"/>
    <n v="2205.0889999999999"/>
    <m/>
    <n v="367.51483333333334"/>
    <m/>
    <m/>
    <m/>
    <n v="35.542000000000002"/>
    <n v="131.27699999999999"/>
    <n v="184.47800000000001"/>
    <n v="0"/>
    <n v="351.29700000000003"/>
    <n v="11.759"/>
    <n v="18.646999999999998"/>
    <n v="9.5839999999999996"/>
    <n v="0"/>
    <n v="39.989999999999995"/>
    <n v="3.8119999999999998"/>
    <n v="4.0449999999999999"/>
    <n v="10.093999999999999"/>
    <n v="0"/>
    <n v="17.951000000000001"/>
    <n v="698.94299999999998"/>
    <n v="116.4905"/>
    <n v="200.767"/>
    <n v="331.52600000000001"/>
    <n v="334.71000000000004"/>
    <n v="1038.4000000000001"/>
    <n v="1905.4030000000002"/>
    <m/>
    <m/>
    <m/>
    <m/>
    <m/>
    <s v="Additions include oil and purchases; excludes sales. Capital excludes asset retirement obligations."/>
    <m/>
    <m/>
    <m/>
    <m/>
    <m/>
    <m/>
    <m/>
    <m/>
    <m/>
    <m/>
    <m/>
    <m/>
    <m/>
    <n v="0"/>
    <n v="0"/>
    <m/>
    <m/>
    <m/>
    <m/>
    <m/>
    <m/>
    <m/>
    <n v="0"/>
    <m/>
    <m/>
    <m/>
    <m/>
    <m/>
    <m/>
    <m/>
    <m/>
    <m/>
    <m/>
    <n v="4"/>
    <m/>
    <m/>
    <m/>
    <m/>
    <m/>
  </r>
  <r>
    <s v="Pioneer Natural Resources"/>
    <s v="PXD"/>
    <x v="1"/>
    <n v="154.274"/>
    <n v="8.0679999999999996"/>
    <n v="6.984"/>
    <n v="40.764333333333333"/>
    <n v="244.58600000000001"/>
    <n v="4.6109999999999998"/>
    <n v="3.141"/>
    <n v="0"/>
    <n v="3.9095"/>
    <n v="23.457000000000001"/>
    <n v="44.673833333333334"/>
    <n v="268.04300000000001"/>
    <n v="0.91248792171405335"/>
    <n v="0.63075564423147679"/>
    <n v="0.19791811469176485"/>
    <n v="0.17132624107675828"/>
    <n v="174.393"/>
    <n v="63.079000000000001"/>
    <n v="1009.31"/>
    <n v="2434.1419999999998"/>
    <n v="229.05299999999988"/>
    <n v="405.69033333333334"/>
    <n v="38.1755"/>
    <n v="0.10387471888889745"/>
    <m/>
    <n v="-92.793999999999997"/>
    <n v="202.28399999999999"/>
    <n v="58.758000000000003"/>
    <n v="0"/>
    <n v="168.24799999999999"/>
    <n v="-8.577"/>
    <n v="17.196000000000002"/>
    <n v="2.4249999999999998"/>
    <n v="0"/>
    <n v="11.044"/>
    <n v="-6.077"/>
    <n v="5.8410000000000002"/>
    <n v="2.0449999999999999"/>
    <n v="0"/>
    <n v="1.8090000000000002"/>
    <n v="245.36600000000001"/>
    <n v="40.894333333333329"/>
    <n v="50.125999999999998"/>
    <n v="85.245000000000005"/>
    <n v="321.33699999999999"/>
    <n v="838.23900000000003"/>
    <n v="1294.9470000000001"/>
    <m/>
    <m/>
    <m/>
    <m/>
    <m/>
    <s v="Additions include oil and purchases; excludes sales. Capital excludes asset retirement obligations."/>
    <m/>
    <m/>
    <m/>
    <m/>
    <m/>
    <m/>
    <m/>
    <m/>
    <m/>
    <m/>
    <m/>
    <m/>
    <m/>
    <n v="0"/>
    <n v="0"/>
    <m/>
    <m/>
    <m/>
    <m/>
    <m/>
    <m/>
    <m/>
    <n v="0"/>
    <m/>
    <m/>
    <m/>
    <m/>
    <m/>
    <m/>
    <m/>
    <m/>
    <m/>
    <m/>
    <n v="4"/>
    <m/>
    <m/>
    <m/>
    <m/>
    <m/>
  </r>
  <r>
    <s v="Pioneer Natural Resources"/>
    <s v="PXD"/>
    <x v="2"/>
    <n v="147.47300000000001"/>
    <n v="9.3149999999999995"/>
    <n v="7.1929999999999996"/>
    <n v="41.086833333333331"/>
    <n v="246.52100000000002"/>
    <n v="9.93"/>
    <n v="2.52"/>
    <n v="0"/>
    <n v="4.1749999999999998"/>
    <n v="25.05"/>
    <n v="45.261833333333328"/>
    <n v="271.57100000000003"/>
    <n v="0.90775892860430607"/>
    <n v="0.59821678477695617"/>
    <n v="0.22671496545933206"/>
    <n v="0.17506824976371183"/>
    <n v="181.07300000000001"/>
    <n v="63.819000000000003"/>
    <n v="779.07899999999995"/>
    <n v="2248.431"/>
    <n v="-185.71099999999979"/>
    <n v="374.73849999999999"/>
    <n v="-30.951833333333354"/>
    <n v="-7.6294234272281616E-2"/>
    <m/>
    <n v="-335.00599999999997"/>
    <n v="18.864999999999998"/>
    <n v="0"/>
    <n v="0"/>
    <n v="-316.14099999999996"/>
    <n v="21.91"/>
    <n v="10.413"/>
    <n v="0"/>
    <n v="0"/>
    <n v="32.323"/>
    <n v="8.2629999999999999"/>
    <n v="1.2290000000000001"/>
    <n v="0"/>
    <n v="0"/>
    <n v="9.4920000000000009"/>
    <n v="-65.250999999999976"/>
    <n v="-10.875166666666662"/>
    <n v="80.087999999999994"/>
    <n v="8.77"/>
    <n v="89.668999999999997"/>
    <n v="235.679"/>
    <n v="414.20600000000002"/>
    <n v="3614.5560000000005"/>
    <n v="146.50966666666665"/>
    <n v="879.05799999999999"/>
    <n v="24.671109301092766"/>
    <n v="4.1118515501821271"/>
    <s v="Additions include oil and purchases; excludes sales. Capital excludes asset retirement obligations."/>
    <n v="345.9"/>
    <m/>
    <n v="140"/>
    <n v="140"/>
    <n v="-11.703999999999999"/>
    <n v="0"/>
    <n v="-10.624410500384798"/>
    <m/>
    <n v="98.4"/>
    <n v="98.4"/>
    <m/>
    <n v="183.00399999999999"/>
    <n v="183.00399999999999"/>
    <n v="1402.4359999999999"/>
    <n v="1402.4359999999999"/>
    <n v="0.90775892860430607"/>
    <n v="756.67958949961519"/>
    <n v="18.416595490841313"/>
    <n v="3.0694325818068853"/>
    <s v="Excludes asset retirement obligations. Includes hurricane activity and other; Net Operating Loss"/>
    <n v="1170.8855894996152"/>
    <n v="117.08855894996152"/>
    <n v="0.282681947991969"/>
    <n v="2.8497829949568967"/>
    <n v="0.4749638324928161"/>
    <n v="10.081234458727655"/>
    <n v="1.6802057431212756"/>
    <n v="43.08770479193408"/>
    <n v="45.937487786890976"/>
    <n v="53.168939250661737"/>
    <n v="7.1812841319890124"/>
    <n v="7.6562479644818282"/>
    <n v="8.8614898751102871"/>
    <n v="4"/>
    <n v="4.3087704791934076"/>
    <n v="177.03373455020633"/>
    <n v="0.4274050461611042"/>
    <n v="128"/>
    <m/>
  </r>
  <r>
    <s v="Pioneer Natural Resources"/>
    <s v="PXD"/>
    <x v="3"/>
    <n v="139.65799999999999"/>
    <n v="10.297000000000001"/>
    <n v="7.2030000000000003"/>
    <n v="40.776333333333334"/>
    <n v="244.65800000000002"/>
    <n v="11.902000000000001"/>
    <n v="2.0059999999999998"/>
    <n v="0"/>
    <n v="3.9896666666666665"/>
    <n v="23.937999999999999"/>
    <n v="44.765999999999998"/>
    <n v="268.596"/>
    <n v="0.91087730271485801"/>
    <n v="0.57082948442315384"/>
    <n v="0.25252393136541623"/>
    <n v="0.17664658421142984"/>
    <n v="207.99299999999999"/>
    <n v="75.433000000000007"/>
    <n v="898.91099999999994"/>
    <n v="2599.4670000000001"/>
    <n v="351.03600000000006"/>
    <n v="433.24450000000002"/>
    <n v="58.506000000000029"/>
    <n v="0.15612487107676429"/>
    <m/>
    <n v="188.10900000000001"/>
    <n v="155.44800000000001"/>
    <n v="3.3639999999999999"/>
    <n v="0"/>
    <n v="346.92099999999999"/>
    <n v="12.897"/>
    <n v="31.428000000000001"/>
    <n v="1.944"/>
    <n v="9.7159999999999993"/>
    <n v="55.985000000000007"/>
    <n v="19.291"/>
    <n v="15.669"/>
    <n v="0.55500000000000005"/>
    <n v="0"/>
    <n v="35.515000000000001"/>
    <n v="895.92100000000005"/>
    <n v="149.32016666666669"/>
    <n v="175.00700000000001"/>
    <n v="6.56"/>
    <n v="239.36600000000001"/>
    <n v="671.30099999999993"/>
    <n v="1092.2339999999999"/>
    <n v="2801.3870000000002"/>
    <n v="179.33933333333337"/>
    <n v="1076.0360000000001"/>
    <n v="15.620594478251654"/>
    <n v="2.6034324130419431"/>
    <s v="Additions include oil and purchases; excludes sales. Capital excludes asset retirement obligations."/>
    <n v="364.8"/>
    <m/>
    <n v="165"/>
    <n v="165"/>
    <n v="9.8640000000000008"/>
    <n v="0"/>
    <n v="8.9848937139793605"/>
    <m/>
    <n v="112.1"/>
    <n v="112.1"/>
    <m/>
    <n v="198.32599999999999"/>
    <n v="198.32599999999999"/>
    <n v="1718.297"/>
    <n v="1718.297"/>
    <n v="0.91087730271485801"/>
    <n v="849.21089371397943"/>
    <n v="20.826072976497301"/>
    <n v="3.4710121627495498"/>
    <s v="Excludes asset retirement obligations. Includes hurricane activity and other; Net Operating Loss"/>
    <n v="1941.4448937139794"/>
    <n v="194.14448937139795"/>
    <n v="0.17774990466456636"/>
    <n v="4.7612051771386499"/>
    <n v="0.79353419618977483"/>
    <n v="26.785978794889189"/>
    <n v="4.4643297991481985"/>
    <n v="36.446667454748955"/>
    <n v="41.207872631887604"/>
    <n v="63.232646249638144"/>
    <n v="6.0744445757914924"/>
    <n v="6.8679787719812673"/>
    <n v="10.538774374939692"/>
    <n v="4"/>
    <n v="3.6446667454748956"/>
    <n v="148.61614610239951"/>
    <n v="0.13606621484260656"/>
    <n v="96"/>
    <m/>
  </r>
  <r>
    <s v="Pioneer Natural Resources"/>
    <s v="PXD"/>
    <x v="4"/>
    <n v="143.24299999999999"/>
    <n v="14.826000000000001"/>
    <n v="8.2080000000000002"/>
    <n v="46.907833333333329"/>
    <n v="281.447"/>
    <n v="7.6890000000000001"/>
    <n v="0.39300000000000002"/>
    <n v="0"/>
    <n v="1.6745000000000001"/>
    <n v="10.047000000000001"/>
    <n v="48.582333333333331"/>
    <n v="291.49400000000003"/>
    <n v="0.96553273823817976"/>
    <n v="0.50895195187726283"/>
    <n v="0.31606661289692201"/>
    <n v="0.17498143522581519"/>
    <n v="239.79900000000001"/>
    <n v="90.63"/>
    <n v="677.67499999999995"/>
    <n v="2660.2489999999998"/>
    <n v="60.781999999999698"/>
    <n v="443.3748333333333"/>
    <n v="10.130333333333283"/>
    <n v="2.3382485717264229E-2"/>
    <m/>
    <n v="-247.196"/>
    <n v="273.04300000000001"/>
    <n v="4.569"/>
    <n v="0"/>
    <n v="30.416000000000007"/>
    <n v="8.8160000000000007"/>
    <n v="70.864000000000004"/>
    <n v="2.81"/>
    <n v="1.3939999999999999"/>
    <n v="83.884000000000015"/>
    <n v="-5.75"/>
    <n v="39.911999999999999"/>
    <n v="0.86299999999999999"/>
    <n v="0"/>
    <n v="35.024999999999999"/>
    <n v="743.87000000000012"/>
    <n v="123.97833333333335"/>
    <n v="124.32599999999999"/>
    <n v="7.5649999999999995"/>
    <n v="565.97400000000005"/>
    <n v="1456.1190000000001"/>
    <n v="2153.9840000000004"/>
    <n v="3660.4240000000004"/>
    <n v="262.4233333333334"/>
    <n v="1574.5400000000002"/>
    <n v="13.948546242077049"/>
    <n v="2.324757707012842"/>
    <s v="Additions include oil and purchases; excludes sales. Capital excludes asset retirement obligations."/>
    <n v="453.1"/>
    <m/>
    <n v="190"/>
    <n v="190"/>
    <n v="6.9480000000000004"/>
    <n v="0"/>
    <n v="6.7085214652788734"/>
    <m/>
    <n v="147.69999999999999"/>
    <n v="147.69999999999999"/>
    <m/>
    <n v="194.96600000000001"/>
    <n v="194.96600000000001"/>
    <n v="1985"/>
    <n v="1985"/>
    <n v="0.96553273823817976"/>
    <n v="992.47452146527883"/>
    <n v="21.15796980885095"/>
    <n v="3.5263283014751581"/>
    <s v="Excludes asset retirement obligations. Includes hurricane activity and other; Net Operating Loss"/>
    <n v="3146.4585214652793"/>
    <n v="314.64585214652794"/>
    <n v="0.14607622533246667"/>
    <n v="6.7077464420625121"/>
    <n v="1.1179577403437519"/>
    <n v="45.919494611774162"/>
    <n v="7.6532491019623601"/>
    <n v="35.106516050928001"/>
    <n v="41.814262492990515"/>
    <n v="81.026010662702163"/>
    <n v="5.8510860084880001"/>
    <n v="6.9690437488317523"/>
    <n v="13.504335110450359"/>
    <n v="4"/>
    <n v="3.5106516050928001"/>
    <n v="164.6770603830922"/>
    <n v="7.6452313658361512E-2"/>
    <n v="108"/>
    <m/>
  </r>
  <r>
    <s v="Pioneer Natural Resources"/>
    <s v="PXD"/>
    <x v="5"/>
    <n v="161.197"/>
    <n v="22.99"/>
    <n v="10.913"/>
    <n v="60.769166666666663"/>
    <n v="364.61500000000001"/>
    <n v="0"/>
    <n v="0"/>
    <n v="0"/>
    <n v="0"/>
    <n v="0"/>
    <n v="60.769166666666663"/>
    <n v="364.61500000000001"/>
    <n v="1"/>
    <n v="0.44210194314550966"/>
    <n v="0.37831685476461474"/>
    <n v="0.17958120208987563"/>
    <n v="256.13799999999998"/>
    <n v="97.938999999999993"/>
    <n v="592.27099999999996"/>
    <n v="2716.7330000000002"/>
    <n v="56.484000000000378"/>
    <n v="452.78883333333334"/>
    <n v="9.4140000000000441"/>
    <n v="2.1232598903335842E-2"/>
    <m/>
    <n v="-485.21600000000001"/>
    <n v="320.24299999999999"/>
    <n v="9.4570000000000007"/>
    <n v="0"/>
    <n v="-155.51600000000002"/>
    <n v="-11.157999999999999"/>
    <n v="78.375"/>
    <n v="5.383"/>
    <n v="7.4980000000000002"/>
    <n v="80.097999999999999"/>
    <n v="-17.417000000000002"/>
    <n v="48.421999999999997"/>
    <n v="2.0369999999999999"/>
    <n v="0"/>
    <n v="33.041999999999994"/>
    <n v="523.32399999999984"/>
    <n v="87.220666666666659"/>
    <n v="140.51499999999999"/>
    <n v="16.937999999999999"/>
    <n v="964.62799999999993"/>
    <n v="1824.8110000000001"/>
    <n v="2946.8919999999998"/>
    <n v="6193.1100000000006"/>
    <n v="360.51916666666671"/>
    <n v="2163.1149999999998"/>
    <n v="17.178309983519139"/>
    <n v="2.8630516639198569"/>
    <s v="Additions include oil and purchases; excludes sales. Capital excludes asset retirement obligations."/>
    <n v="532"/>
    <m/>
    <n v="244.196"/>
    <n v="244.196"/>
    <n v="4.2590000000000003"/>
    <n v="0"/>
    <n v="4.2590000000000003"/>
    <m/>
    <n v="169"/>
    <n v="169"/>
    <m/>
    <n v="215"/>
    <n v="215"/>
    <n v="2512"/>
    <n v="2512"/>
    <n v="1"/>
    <n v="1164.4549999999999"/>
    <n v="19.161937934533686"/>
    <n v="3.1936563224222807"/>
    <m/>
    <n v="4111.3469999999998"/>
    <n v="411.13470000000001"/>
    <n v="0.13951468190894001"/>
    <n v="6.7655148581380367"/>
    <n v="1.1275858096896727"/>
    <n v="48.493210646846677"/>
    <n v="8.082201774474445"/>
    <n v="36.340247918052825"/>
    <n v="43.105762776190858"/>
    <n v="84.833458564899502"/>
    <n v="6.056707986342138"/>
    <n v="7.1842937960318105"/>
    <n v="14.138909760816583"/>
    <n v="4"/>
    <n v="3.6340247918052824"/>
    <n v="220.83665824401382"/>
    <n v="7.4938836660459168E-2"/>
    <n v="212.67"/>
    <m/>
  </r>
  <r>
    <s v="Pioneer Natural Resources"/>
    <s v="PXD"/>
    <x v="6"/>
    <n v="157.69"/>
    <n v="27.454999999999998"/>
    <n v="12.999000000000001"/>
    <n v="66.73566666666666"/>
    <n v="400.41399999999999"/>
    <n v="0"/>
    <n v="0"/>
    <n v="0"/>
    <n v="0"/>
    <n v="0"/>
    <n v="66.73566666666666"/>
    <n v="400.41399999999999"/>
    <n v="1"/>
    <n v="0.39381739899204327"/>
    <n v="0.41139920182611001"/>
    <n v="0.19478339918184681"/>
    <n v="45.313000000000002"/>
    <n v="13.968"/>
    <n v="71.807000000000002"/>
    <n v="427.49300000000005"/>
    <n v="-2289.2400000000002"/>
    <n v="71.248833333333337"/>
    <n v="-381.54"/>
    <n v="-0.84264445567525414"/>
    <m/>
    <n v="-304.53100000000001"/>
    <n v="205.899"/>
    <n v="0.50900000000000001"/>
    <n v="0"/>
    <n v="-98.123000000000005"/>
    <n v="-184.35900000000001"/>
    <n v="78.921999999999997"/>
    <n v="9.6000000000000002E-2"/>
    <n v="0"/>
    <n v="-105.34100000000001"/>
    <n v="-64.986000000000004"/>
    <n v="38.639000000000003"/>
    <n v="0.123"/>
    <n v="0"/>
    <n v="-26.224"/>
    <n v="-887.51300000000015"/>
    <n v="-147.91883333333334"/>
    <n v="63.161999999999999"/>
    <n v="12.861000000000001"/>
    <n v="1287.912"/>
    <n v="1471.364"/>
    <n v="2835.299"/>
    <n v="7936.1750000000002"/>
    <n v="63.280166666666673"/>
    <n v="379.68099999999981"/>
    <n v="125.41330748707466"/>
    <n v="20.902217914512455"/>
    <s v="Additions include oil and purchases; excludes sales. Capital excludes asset retirement obligations."/>
    <n v="588"/>
    <m/>
    <n v="295.86799999999999"/>
    <n v="295.86799999999999"/>
    <n v="10.362"/>
    <n v="0"/>
    <n v="10.362"/>
    <m/>
    <n v="192"/>
    <n v="192"/>
    <m/>
    <n v="194"/>
    <n v="194"/>
    <n v="3088"/>
    <n v="3088"/>
    <n v="1"/>
    <n v="1280.23"/>
    <n v="19.183594979196535"/>
    <n v="3.1972658298660885"/>
    <m/>
    <n v="4115.5290000000005"/>
    <n v="411.55290000000008"/>
    <n v="0.14515326249541938"/>
    <n v="6.1669107473764671"/>
    <n v="1.0278184578960778"/>
    <n v="42.485512494568127"/>
    <n v="7.0809187490946872"/>
    <n v="144.59690246627119"/>
    <n v="150.76381321364767"/>
    <n v="187.08241496083932"/>
    <n v="24.099483744378546"/>
    <n v="25.127302202274624"/>
    <n v="31.180402493473231"/>
    <n v="4"/>
    <n v="14.459690246627119"/>
    <n v="964.97706840215847"/>
    <n v="0.34034402311789991"/>
    <n v="158.90199999999999"/>
    <m/>
  </r>
  <r>
    <s v="Pioneer Natural Resources"/>
    <s v="PXD"/>
    <x v="7"/>
    <n v="154.42400000000001"/>
    <n v="32.718000000000004"/>
    <n v="15.760999999999999"/>
    <n v="74.216333333333338"/>
    <n v="445.298"/>
    <n v="0"/>
    <n v="0"/>
    <n v="0"/>
    <n v="0"/>
    <n v="0"/>
    <n v="74.216333333333338"/>
    <n v="445.298"/>
    <n v="1"/>
    <n v="0.34678799365817947"/>
    <n v="0.44084635457603671"/>
    <n v="0.21236565176578379"/>
    <n v="84.891000000000005"/>
    <n v="39.037999999999997"/>
    <n v="182.583"/>
    <n v="926.15699999999993"/>
    <n v="498.66399999999987"/>
    <n v="154.3595"/>
    <n v="83.11066666666666"/>
    <n v="1.1664845974086124"/>
    <m/>
    <n v="-2.5739999999999998"/>
    <n v="275.82499999999999"/>
    <n v="3.2519999999999998"/>
    <n v="0"/>
    <n v="276.50299999999999"/>
    <n v="-46.353999999999999"/>
    <n v="114.864"/>
    <n v="1.139"/>
    <n v="0"/>
    <n v="69.649000000000001"/>
    <n v="-20.125"/>
    <n v="55.987000000000002"/>
    <n v="0.64700000000000002"/>
    <n v="0"/>
    <n v="36.509"/>
    <n v="913.45099999999991"/>
    <n v="152.24183333333332"/>
    <n v="85"/>
    <n v="19"/>
    <n v="1940"/>
    <n v="1531"/>
    <n v="3575"/>
    <n v="9357.1909999999989"/>
    <n v="91.543666666666638"/>
    <n v="549.2619999999996"/>
    <n v="102.21560202599126"/>
    <n v="17.035933670998549"/>
    <m/>
    <n v="693"/>
    <m/>
    <n v="333"/>
    <n v="333"/>
    <n v="-4"/>
    <n v="0"/>
    <n v="-4"/>
    <m/>
    <n v="220"/>
    <n v="220"/>
    <m/>
    <n v="188"/>
    <n v="188"/>
    <n v="3599"/>
    <n v="3599"/>
    <n v="1"/>
    <n v="1430"/>
    <n v="19.267995814039136"/>
    <n v="3.2113326356731897"/>
    <m/>
    <n v="5005"/>
    <n v="500.5"/>
    <n v="0.14000000000000001"/>
    <n v="6.7437985349136982"/>
    <n v="1.1239664224856163"/>
    <n v="48.169989535097841"/>
    <n v="8.0283315891829741"/>
    <n v="121.4835978400304"/>
    <n v="128.22739637494411"/>
    <n v="169.65358737512824"/>
    <n v="20.24726630667174"/>
    <n v="21.371232729157356"/>
    <n v="28.275597895854716"/>
    <n v="4"/>
    <n v="12.14835978400304"/>
    <n v="901.60671918283094"/>
    <n v="0.25219768368750517"/>
    <n v="305"/>
    <m/>
  </r>
  <r>
    <s v="Pioneer Natural Resources"/>
    <s v="PXD"/>
    <x v="8"/>
    <n v="147.173"/>
    <n v="38.451999999999998"/>
    <n v="14.086"/>
    <n v="77.066833333333335"/>
    <n v="462.40100000000001"/>
    <n v="0"/>
    <n v="0"/>
    <n v="0"/>
    <n v="0"/>
    <n v="0"/>
    <n v="77.066833333333335"/>
    <n v="462.40100000000001"/>
    <n v="1"/>
    <n v="0.31828002102071579"/>
    <n v="0.49894355764801546"/>
    <n v="0.18277642133126876"/>
    <n v="85.466999999999999"/>
    <n v="37.261000000000003"/>
    <n v="202.67400000000001"/>
    <n v="939.04200000000003"/>
    <n v="12.885000000000105"/>
    <n v="156.50700000000001"/>
    <n v="2.147500000000008"/>
    <n v="1.3912328039414536E-2"/>
    <m/>
    <n v="-309.947"/>
    <n v="143.99100000000001"/>
    <n v="0.75900000000000001"/>
    <n v="0"/>
    <n v="-165.197"/>
    <n v="-82.816000000000003"/>
    <n v="80.725999999999999"/>
    <n v="0.44400000000000001"/>
    <n v="0"/>
    <n v="-1.6460000000000035"/>
    <n v="-54.439"/>
    <n v="25.495999999999999"/>
    <n v="0.13200000000000001"/>
    <n v="0"/>
    <n v="-28.811"/>
    <n v="-347.93900000000002"/>
    <n v="-57.989833333333337"/>
    <n v="27"/>
    <n v="9"/>
    <n v="1243"/>
    <n v="794"/>
    <n v="2073"/>
    <n v="8483.2989999999991"/>
    <n v="-53.666833333333358"/>
    <n v="-322.00100000000026"/>
    <n v="-158.07340349874681"/>
    <n v="-26.345567249791124"/>
    <m/>
    <n v="717"/>
    <m/>
    <n v="327"/>
    <n v="327"/>
    <n v="23"/>
    <n v="0"/>
    <n v="23"/>
    <m/>
    <n v="145"/>
    <n v="145"/>
    <m/>
    <n v="191"/>
    <n v="191"/>
    <n v="2178"/>
    <n v="2178"/>
    <n v="1"/>
    <n v="1403"/>
    <n v="18.204977930411051"/>
    <n v="3.0341629884018415"/>
    <m/>
    <n v="3476"/>
    <n v="347.6"/>
    <n v="0.16767969126869273"/>
    <n v="4.5103708685751114"/>
    <n v="0.75172847809585186"/>
    <n v="26.898730755340061"/>
    <n v="4.4831217925566769"/>
    <n v="-139.86842556833577"/>
    <n v="-135.35805469976066"/>
    <n v="-112.9696948129957"/>
    <n v="-23.311404261389281"/>
    <n v="-22.559675783293429"/>
    <n v="-18.828282468832604"/>
    <n v="4"/>
    <n v="-13.986842556833576"/>
    <n v="-1077.9216641870671"/>
    <n v="-0.51998150708493351"/>
    <n v="306"/>
    <m/>
  </r>
  <r>
    <s v="Pioneer Natural Resources"/>
    <s v="PXD"/>
    <x v="9"/>
    <n v="139.51"/>
    <n v="48.926000000000002"/>
    <n v="15.922000000000001"/>
    <n v="88.099666666666664"/>
    <n v="528.59800000000007"/>
    <n v="0"/>
    <n v="0"/>
    <n v="0"/>
    <n v="0"/>
    <n v="0"/>
    <n v="88.099666666666664"/>
    <n v="528.59800000000007"/>
    <n v="1"/>
    <n v="0.26392457027835892"/>
    <n v="0.55534829870714608"/>
    <n v="0.18072713101449495"/>
    <n v="34.680999999999997"/>
    <n v="10.013"/>
    <n v="48.868000000000002"/>
    <n v="317.03199999999998"/>
    <n v="-622.01"/>
    <n v="52.838666666666661"/>
    <n v="-103.66833333333335"/>
    <n v="-0.66238783781769084"/>
    <m/>
    <n v="-76.998000000000005"/>
    <n v="120.76600000000001"/>
    <n v="5.3609999999999998"/>
    <n v="0"/>
    <n v="49.128999999999998"/>
    <n v="-3.9119999999999999"/>
    <n v="117.40600000000001"/>
    <n v="2.5659999999999998"/>
    <n v="0"/>
    <n v="116.06"/>
    <n v="1.2789999999999999"/>
    <n v="24.734999999999999"/>
    <n v="0.74299999999999999"/>
    <n v="0"/>
    <n v="26.756999999999998"/>
    <n v="906.03099999999995"/>
    <n v="151.00516666666667"/>
    <n v="366"/>
    <n v="78"/>
    <n v="1452"/>
    <n v="492"/>
    <n v="2388"/>
    <n v="8036"/>
    <n v="245.25716666666665"/>
    <n v="1471.5429999999999"/>
    <n v="32.765607257144374"/>
    <n v="5.4609345428573954"/>
    <m/>
    <n v="581"/>
    <m/>
    <n v="325"/>
    <n v="325"/>
    <n v="24"/>
    <m/>
    <n v="24"/>
    <m/>
    <n v="136"/>
    <n v="136"/>
    <m/>
    <n v="211"/>
    <n v="211"/>
    <n v="2418"/>
    <n v="2418"/>
    <n v="1"/>
    <n v="1277"/>
    <n v="14.494947010771892"/>
    <n v="2.4158245017953148"/>
    <m/>
    <n v="3665"/>
    <n v="366.5"/>
    <n v="0.15347571189279732"/>
    <n v="4.1600611428722774"/>
    <n v="0.69334352381204611"/>
    <n v="27.105664417950884"/>
    <n v="4.5176107363251461"/>
    <n v="47.260554267916262"/>
    <n v="51.420615410788542"/>
    <n v="74.366218685867153"/>
    <n v="7.8767590446527098"/>
    <n v="8.5701025684647565"/>
    <n v="12.394369780977856"/>
    <n v="4"/>
    <n v="4.7260554267916266"/>
    <n v="416.36390774853334"/>
    <n v="0.17435674528833053"/>
    <n v="323"/>
    <m/>
  </r>
  <r>
    <s v="Range Resources"/>
    <s v="RRC"/>
    <x v="0"/>
    <n v="90.62"/>
    <n v="4.5049999999999999"/>
    <n v="0"/>
    <n v="19.608333333333334"/>
    <n v="117.65"/>
    <n v="0"/>
    <n v="0"/>
    <n v="0"/>
    <n v="0"/>
    <n v="0"/>
    <n v="19.608333333333334"/>
    <n v="117.65"/>
    <n v="1"/>
    <n v="0.77025074373140667"/>
    <n v="0.22974925626859327"/>
    <n v="0"/>
    <n v="19.645"/>
    <n v="0"/>
    <n v="688.08799999999997"/>
    <n v="805.95799999999997"/>
    <m/>
    <n v="134.32633333333334"/>
    <m/>
    <m/>
    <m/>
    <n v="-0.38600000000000001"/>
    <n v="401.80500000000001"/>
    <n v="121.38200000000001"/>
    <n v="0"/>
    <n v="522.80099999999993"/>
    <n v="2.4319999999999999"/>
    <n v="13.741"/>
    <n v="1.9339999999999999"/>
    <n v="0"/>
    <n v="18.106999999999999"/>
    <n v="0"/>
    <n v="0"/>
    <n v="0"/>
    <n v="0"/>
    <n v="0"/>
    <n v="631.44299999999998"/>
    <n v="105.24049999999998"/>
    <n v="82.646999999999991"/>
    <n v="253.06399999999999"/>
    <n v="82.876000000000005"/>
    <n v="751.20499999999993"/>
    <n v="1169.7919999999999"/>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m/>
    <m/>
    <m/>
  </r>
  <r>
    <s v="Range Resources"/>
    <s v="RRC"/>
    <x v="1"/>
    <n v="114.32299999999999"/>
    <n v="3.085"/>
    <n v="1.3859999999999999"/>
    <n v="23.524833333333333"/>
    <n v="141.149"/>
    <n v="0"/>
    <n v="0"/>
    <n v="0"/>
    <n v="0"/>
    <n v="0"/>
    <n v="23.524833333333333"/>
    <n v="141.149"/>
    <n v="1"/>
    <n v="0.80994551856548747"/>
    <n v="0.13113801727252761"/>
    <n v="5.8916464161984851E-2"/>
    <n v="24.327000000000002"/>
    <n v="0"/>
    <n v="875.56700000000001"/>
    <n v="1021.529"/>
    <n v="215.57100000000003"/>
    <n v="170.25483333333332"/>
    <n v="35.928499999999985"/>
    <n v="0.26747175411125629"/>
    <m/>
    <n v="-23.396999999999998"/>
    <n v="423.35399999999998"/>
    <n v="95.262"/>
    <n v="0"/>
    <n v="495.21899999999999"/>
    <n v="-4.9459999999999997"/>
    <n v="10.198"/>
    <n v="0"/>
    <n v="0"/>
    <n v="5.2520000000000007"/>
    <n v="1.7909999999999999"/>
    <n v="5.6429999999999998"/>
    <n v="5.2999999999999999E-2"/>
    <n v="0"/>
    <n v="7.4869999999999992"/>
    <n v="571.65300000000002"/>
    <n v="95.275499999999994"/>
    <n v="593.78700000000003"/>
    <n v="251.471"/>
    <n v="196.67600000000002"/>
    <n v="776.32400000000007"/>
    <n v="1818.258"/>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m/>
    <m/>
    <m/>
  </r>
  <r>
    <s v="Range Resources"/>
    <s v="RRC"/>
    <x v="2"/>
    <n v="130.649"/>
    <n v="2.5569999999999999"/>
    <n v="2.1869999999999998"/>
    <n v="26.518833333333333"/>
    <n v="159.113"/>
    <n v="0"/>
    <n v="0"/>
    <n v="0"/>
    <n v="0"/>
    <n v="0"/>
    <n v="26.518833333333333"/>
    <n v="159.113"/>
    <n v="1"/>
    <n v="0.82110826896608069"/>
    <n v="9.6422039682489802E-2"/>
    <n v="8.246969135142948E-2"/>
    <n v="13.457000000000001"/>
    <n v="25.382000000000001"/>
    <n v="1169.0119999999999"/>
    <n v="1402.0459999999998"/>
    <n v="380.51699999999983"/>
    <n v="233.67433333333332"/>
    <n v="63.419499999999999"/>
    <n v="0.372497501294628"/>
    <m/>
    <n v="-37.497"/>
    <n v="620.11400000000003"/>
    <n v="0"/>
    <n v="0"/>
    <n v="582.61700000000008"/>
    <n v="-1.536"/>
    <n v="3.4790000000000001"/>
    <n v="0"/>
    <n v="0"/>
    <n v="1.9430000000000001"/>
    <n v="8.4339999999999993"/>
    <n v="21.492000000000001"/>
    <n v="0"/>
    <n v="0"/>
    <n v="29.926000000000002"/>
    <n v="773.83100000000013"/>
    <n v="128.97183333333334"/>
    <n v="176.86699999999999"/>
    <n v="0"/>
    <n v="99.203000000000003"/>
    <n v="527.226"/>
    <n v="803.29600000000005"/>
    <n v="3791.3460000000005"/>
    <n v="329.4878333333333"/>
    <n v="1976.9270000000001"/>
    <n v="11.506786037117205"/>
    <n v="1.9177976728528672"/>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35"/>
    <n v="0"/>
    <n v="115"/>
    <n v="115"/>
    <n v="0"/>
    <n v="0.17"/>
    <n v="0.17"/>
    <n v="0"/>
    <n v="26"/>
    <n v="26"/>
    <n v="0"/>
    <n v="108.685"/>
    <n v="108.685"/>
    <n v="751.74900000000002"/>
    <n v="751.74900000000002"/>
    <n v="1"/>
    <n v="384.85500000000002"/>
    <n v="14.512516262027617"/>
    <n v="2.418752710337936"/>
    <s v="G&amp;A Excludes deferred compensation plan. LOE excludes &quot;Brokered Natural Gas and Marketing&quot;"/>
    <n v="1188.1510000000001"/>
    <n v="118.81510000000002"/>
    <n v="0.14790948790981159"/>
    <n v="4.4804044924047695"/>
    <n v="0.74673408206746161"/>
    <n v="30.291528662020077"/>
    <n v="5.048588110336679"/>
    <n v="26.019302299144822"/>
    <n v="30.499706791549592"/>
    <n v="56.310830961164896"/>
    <n v="4.3365503831908034"/>
    <n v="5.0832844652582647"/>
    <n v="9.3851384935274815"/>
    <n v="4"/>
    <n v="2.6019302299144824"/>
    <n v="69.000154112063839"/>
    <n v="8.5896299884555424E-2"/>
    <n v="8"/>
    <m/>
  </r>
  <r>
    <s v="Range Resources"/>
    <s v="RRC"/>
    <x v="3"/>
    <n v="142.03399999999999"/>
    <n v="1.9690000000000001"/>
    <n v="4.49"/>
    <n v="30.13133333333333"/>
    <n v="180.78799999999998"/>
    <n v="0"/>
    <n v="0"/>
    <n v="0"/>
    <n v="0"/>
    <n v="0"/>
    <n v="30.13133333333333"/>
    <n v="180.78799999999998"/>
    <n v="1"/>
    <n v="0.7856384273292476"/>
    <n v="6.5347257561342575E-2"/>
    <n v="0.14901431510940993"/>
    <n v="6.1890000000000001"/>
    <n v="69.650999999999996"/>
    <n v="1803.76"/>
    <n v="2258.8000000000002"/>
    <n v="856.75400000000036"/>
    <n v="376.4666666666667"/>
    <n v="142.79233333333337"/>
    <n v="0.61107410170565035"/>
    <m/>
    <n v="3.5990000000000002"/>
    <n v="1089.6320000000001"/>
    <n v="124.98099999999999"/>
    <n v="0"/>
    <n v="1218.212"/>
    <n v="-2.6720000000000002"/>
    <n v="4.6630000000000003"/>
    <n v="0"/>
    <n v="0"/>
    <n v="1.9910000000000001"/>
    <n v="26.832000000000001"/>
    <n v="48.792000000000002"/>
    <n v="0"/>
    <n v="0"/>
    <n v="75.623999999999995"/>
    <n v="1683.9019999999998"/>
    <n v="280.65033333333338"/>
    <n v="155.26900000000001"/>
    <n v="130.767"/>
    <n v="110.94"/>
    <n v="747.34699999999998"/>
    <n v="1144.3229999999999"/>
    <n v="3765.877"/>
    <n v="504.89766666666674"/>
    <n v="3029.386"/>
    <n v="7.458693609860215"/>
    <n v="1.243115601643369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59"/>
    <n v="0"/>
    <n v="141"/>
    <n v="141"/>
    <n v="0"/>
    <n v="-1.359"/>
    <n v="-1.359"/>
    <n v="0"/>
    <n v="26"/>
    <n v="26"/>
    <n v="0"/>
    <n v="116.76600000000001"/>
    <n v="116.76600000000001"/>
    <n v="823.29"/>
    <n v="823.29"/>
    <n v="1"/>
    <n v="441.40700000000004"/>
    <n v="14.649434696993167"/>
    <n v="2.4415724494988611"/>
    <s v="G&amp;A Excludes deferred compensation plan. LOE excludes &quot;Brokered Natural Gas and Marketing&quot;"/>
    <n v="1585.73"/>
    <n v="158.57300000000001"/>
    <n v="0.13857363698885719"/>
    <n v="5.2627276146646906"/>
    <n v="0.87712126911078181"/>
    <n v="37.977841449653738"/>
    <n v="6.3296402416089563"/>
    <n v="22.108128306853381"/>
    <n v="27.370855921518071"/>
    <n v="60.085969756507119"/>
    <n v="3.6846880511422304"/>
    <n v="4.5618093202530119"/>
    <n v="10.014328292751188"/>
    <n v="4"/>
    <n v="2.2108128306853381"/>
    <n v="66.614738338990136"/>
    <n v="5.8213230302100148E-2"/>
    <n v="11"/>
    <m/>
  </r>
  <r>
    <s v="Range Resources"/>
    <s v="RRC"/>
    <x v="4"/>
    <n v="157.001"/>
    <n v="1.968"/>
    <n v="5.5730000000000004"/>
    <n v="33.707833333333333"/>
    <n v="202.24700000000001"/>
    <n v="0"/>
    <n v="0"/>
    <n v="0"/>
    <n v="0"/>
    <n v="0"/>
    <n v="33.707833333333333"/>
    <n v="202.24700000000001"/>
    <n v="1"/>
    <n v="0.77628345537881893"/>
    <n v="5.8384055140496521E-2"/>
    <n v="0.16533248948068452"/>
    <n v="13.66"/>
    <n v="78.043000000000006"/>
    <n v="2102.4670000000001"/>
    <n v="2652.6850000000004"/>
    <n v="393.88500000000022"/>
    <n v="442.11416666666673"/>
    <n v="65.647500000000036"/>
    <n v="0.17437798831237833"/>
    <m/>
    <n v="73.643000000000001"/>
    <n v="1304.3240000000001"/>
    <n v="0"/>
    <n v="0"/>
    <n v="1377.9670000000001"/>
    <n v="6.5220000000000002"/>
    <n v="4.915"/>
    <n v="0"/>
    <n v="0"/>
    <n v="11.437000000000001"/>
    <n v="18.626999999999999"/>
    <n v="26.591000000000001"/>
    <n v="0"/>
    <n v="0"/>
    <n v="45.218000000000004"/>
    <n v="1717.8970000000002"/>
    <n v="286.31616666666667"/>
    <n v="220.57900000000001"/>
    <n v="0"/>
    <n v="304.17899999999997"/>
    <n v="1064.5439999999999"/>
    <n v="1589.3019999999999"/>
    <n v="3536.9209999999998"/>
    <n v="695.93833333333339"/>
    <n v="4175.63"/>
    <n v="5.0822333396397665"/>
    <n v="0.8470388899399611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234"/>
    <n v="0"/>
    <n v="151.19999999999999"/>
    <n v="151.19999999999999"/>
    <n v="0"/>
    <n v="0.67500000000000004"/>
    <n v="0.67500000000000004"/>
    <n v="0"/>
    <n v="27.7"/>
    <n v="27.7"/>
    <n v="0"/>
    <n v="133.10300000000001"/>
    <n v="133.10300000000001"/>
    <n v="1173.2660000000001"/>
    <n v="1173.2660000000001"/>
    <n v="1"/>
    <n v="546.678"/>
    <n v="16.218129317122134"/>
    <n v="2.7030215528536887"/>
    <s v="G&amp;A Excludes deferred compensation plan. LOE excludes &quot;Brokered Natural Gas and Marketing&quot;"/>
    <n v="2135.98"/>
    <n v="213.59800000000001"/>
    <n v="0.13439736437756955"/>
    <n v="6.336746651371838"/>
    <n v="1.0561244418953062"/>
    <n v="47.149337196596235"/>
    <n v="7.8582228660993723"/>
    <n v="21.300362656761902"/>
    <n v="27.637109308133738"/>
    <n v="68.44969985335814"/>
    <n v="3.55006044279365"/>
    <n v="4.6061848846889557"/>
    <n v="11.408283308893022"/>
    <n v="4"/>
    <n v="2.13003626567619"/>
    <n v="71.798907437368726"/>
    <n v="4.5176377703777339E-2"/>
    <n v="10"/>
    <m/>
  </r>
  <r>
    <s v="Range Resources"/>
    <s v="RRC"/>
    <x v="5"/>
    <n v="216.55500000000001"/>
    <n v="2.851"/>
    <n v="6.9690000000000003"/>
    <n v="45.912500000000001"/>
    <n v="275.47500000000002"/>
    <n v="0"/>
    <n v="0"/>
    <n v="0"/>
    <n v="0"/>
    <n v="0"/>
    <n v="45.912500000000001"/>
    <n v="275.47500000000002"/>
    <n v="1"/>
    <n v="0.78611489245848076"/>
    <n v="6.2096378981758779E-2"/>
    <n v="0.15178872855976042"/>
    <n v="19.414999999999999"/>
    <n v="85.415000000000006"/>
    <n v="2419.0720000000001"/>
    <n v="3048.0520000000001"/>
    <n v="395.36699999999973"/>
    <n v="508.00866666666673"/>
    <n v="65.894499999999994"/>
    <n v="0.14904408175113137"/>
    <m/>
    <n v="76.924999999999997"/>
    <n v="996.05899999999997"/>
    <n v="0"/>
    <n v="0"/>
    <n v="1072.9839999999999"/>
    <n v="2.3159999999999998"/>
    <n v="15.131"/>
    <n v="0"/>
    <n v="0"/>
    <n v="17.446999999999999"/>
    <n v="3.036"/>
    <n v="113.392"/>
    <n v="0"/>
    <n v="0"/>
    <n v="116.428"/>
    <n v="1876.2339999999999"/>
    <n v="312.70566666666662"/>
    <n v="188.84299999999999"/>
    <n v="0"/>
    <n v="375.57399999999996"/>
    <n v="1094.213"/>
    <n v="1658.6299999999999"/>
    <n v="4392.2550000000001"/>
    <n v="879.67216666666661"/>
    <n v="5278.0329999999994"/>
    <n v="4.9930589672326802"/>
    <n v="0.83217649453877995"/>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08.34500000000003"/>
    <n v="0"/>
    <n v="173.8"/>
    <n v="173.8"/>
    <n v="0"/>
    <n v="0.38600000000000001"/>
    <n v="0.38600000000000001"/>
    <n v="0"/>
    <n v="43.099999999999994"/>
    <n v="43.099999999999994"/>
    <n v="0"/>
    <n v="153.249"/>
    <n v="153.249"/>
    <n v="1351.694"/>
    <n v="1351.694"/>
    <n v="1"/>
    <n v="678.88"/>
    <n v="14.786387149469098"/>
    <n v="2.4643978582448498"/>
    <s v="G&amp;A Excludes deferred compensation plan. LOE excludes &quot;Brokered Natural Gas and Marketing&quot;"/>
    <n v="2337.5099999999998"/>
    <n v="233.75099999999998"/>
    <n v="0.14093016525686861"/>
    <n v="5.0912278791178869"/>
    <n v="0.84853797985298107"/>
    <n v="36.125891641709771"/>
    <n v="6.0209819402849618"/>
    <n v="19.779446116701777"/>
    <n v="24.870673995819665"/>
    <n v="55.905337758411548"/>
    <n v="3.2965743527836295"/>
    <n v="4.1451123326366108"/>
    <n v="9.3175562930685913"/>
    <n v="4"/>
    <n v="1.9779446116701778"/>
    <n v="90.812381983307034"/>
    <n v="5.4751440636734559E-2"/>
    <n v="11.395"/>
    <m/>
  </r>
  <r>
    <s v="Range Resources"/>
    <s v="RRC"/>
    <x v="6"/>
    <n v="264.52800000000002"/>
    <n v="3.827"/>
    <n v="9.2539999999999996"/>
    <n v="57.168999999999997"/>
    <n v="343.01400000000001"/>
    <n v="0"/>
    <n v="0"/>
    <n v="0"/>
    <n v="0"/>
    <n v="0"/>
    <n v="57.168999999999997"/>
    <n v="343.01400000000001"/>
    <n v="1"/>
    <n v="0.77118718186429713"/>
    <n v="6.6941874092602632E-2"/>
    <n v="0.16187094404310029"/>
    <n v="22.306000000000001"/>
    <n v="167.935"/>
    <n v="2868.1619999999998"/>
    <n v="4009.6079999999997"/>
    <n v="961.55599999999959"/>
    <n v="668.26800000000003"/>
    <n v="160.2593333333333"/>
    <n v="0.31546574664736682"/>
    <m/>
    <n v="384.82499999999999"/>
    <n v="853.74599999999998"/>
    <n v="0"/>
    <n v="0"/>
    <n v="1238.5709999999999"/>
    <n v="2.9350000000000001"/>
    <n v="10.723000000000001"/>
    <n v="0"/>
    <n v="0"/>
    <n v="13.658000000000001"/>
    <n v="7.7430000000000003"/>
    <n v="135.81"/>
    <n v="0"/>
    <n v="0"/>
    <n v="143.553"/>
    <n v="2181.837"/>
    <n v="363.6395"/>
    <n v="137.53800000000001"/>
    <n v="0"/>
    <n v="254.15099999999998"/>
    <n v="985.75400000000002"/>
    <n v="1377.443"/>
    <n v="4625.375"/>
    <n v="962.66133333333323"/>
    <n v="5775.9680000000008"/>
    <n v="4.8047790430971924"/>
    <n v="0.80079650718286521"/>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84.29999999999995"/>
    <n v="0"/>
    <n v="291.2"/>
    <n v="291.2"/>
    <n v="0"/>
    <n v="-0.34699999999999998"/>
    <n v="-0.34699999999999998"/>
    <n v="0"/>
    <n v="45.24"/>
    <n v="45.24"/>
    <n v="0"/>
    <n v="176.55"/>
    <n v="176.55"/>
    <n v="1715.6759999999999"/>
    <n v="1715.6759999999999"/>
    <n v="1"/>
    <n v="896.94299999999998"/>
    <n v="15.689324633979954"/>
    <n v="2.614887438996659"/>
    <s v="G&amp;A Excludes deferred compensation plan. LOE excludes &quot;Brokered Natural Gas and Marketing&quot;"/>
    <n v="2274.386"/>
    <n v="227.43860000000001"/>
    <n v="0.16511652387793907"/>
    <n v="3.9783554024034009"/>
    <n v="0.66305923373390008"/>
    <n v="24.09422939005405"/>
    <n v="4.0157048983423413"/>
    <n v="20.494103677077145"/>
    <n v="24.472459079480547"/>
    <n v="44.588333067131195"/>
    <n v="3.4156839461795241"/>
    <n v="4.0787431799134239"/>
    <n v="7.4313888445218659"/>
    <n v="4"/>
    <n v="2.0494103677077145"/>
    <n v="117.16274131148232"/>
    <n v="8.5058141288955197E-2"/>
    <n v="6.9640000000000004"/>
    <m/>
  </r>
  <r>
    <s v="Range Resources"/>
    <s v="RRC"/>
    <x v="7"/>
    <n v="286.92599999999999"/>
    <n v="4.07"/>
    <n v="18.821000000000002"/>
    <n v="70.712000000000003"/>
    <n v="424.27200000000005"/>
    <n v="0"/>
    <n v="0"/>
    <n v="0"/>
    <n v="0"/>
    <n v="0"/>
    <n v="70.712000000000003"/>
    <n v="424.27200000000005"/>
    <n v="1"/>
    <n v="0.67627842516121728"/>
    <n v="5.7557415997284762E-2"/>
    <n v="0.26616415884149791"/>
    <n v="24.478000000000002"/>
    <n v="245.636"/>
    <n v="3339.7849999999999"/>
    <n v="4960.4690000000001"/>
    <n v="950.86100000000033"/>
    <n v="826.74483333333319"/>
    <n v="158.47683333333316"/>
    <n v="0.23714562620585328"/>
    <m/>
    <n v="-30.565999999999999"/>
    <n v="1393.1079999999999"/>
    <n v="262.81299999999999"/>
    <n v="0"/>
    <n v="1625.355"/>
    <n v="515"/>
    <n v="12.936"/>
    <n v="0"/>
    <n v="0"/>
    <n v="527.93600000000004"/>
    <n v="19.716000000000001"/>
    <n v="154.66399999999999"/>
    <n v="0"/>
    <n v="0"/>
    <n v="174.38"/>
    <n v="5839.2509999999993"/>
    <n v="973.20850000000007"/>
    <n v="630.72699999999998"/>
    <n v="0"/>
    <n v="244.47299999999998"/>
    <n v="1133.0329999999999"/>
    <n v="2008.2329999999997"/>
    <n v="5044.3059999999996"/>
    <n v="1649.5536666666667"/>
    <n v="9897.3220000000001"/>
    <n v="3.0579823511855024"/>
    <n v="0.50966372519758374"/>
    <m/>
    <n v="475.8"/>
    <n v="0"/>
    <n v="213.4"/>
    <n v="213.4"/>
    <n v="0"/>
    <n v="-0.156"/>
    <n v="-0.156"/>
    <n v="0"/>
    <n v="44.555"/>
    <n v="44.555"/>
    <n v="0"/>
    <n v="167.977"/>
    <n v="167.977"/>
    <n v="1911.989"/>
    <n v="1911.989"/>
    <n v="1"/>
    <n v="901.57600000000002"/>
    <n v="12.749971716257495"/>
    <n v="2.1249952860429158"/>
    <m/>
    <n v="2909.8089999999997"/>
    <n v="290.98089999999996"/>
    <n v="0.14489399387421678"/>
    <n v="4.1150144247086766"/>
    <n v="0.6858357374514461"/>
    <n v="28.400172530829273"/>
    <n v="4.7333620884715453"/>
    <n v="15.807954067442997"/>
    <n v="19.922968492151675"/>
    <n v="44.208126598272273"/>
    <n v="2.6346590112404993"/>
    <n v="3.3204947486919454"/>
    <n v="7.3680210997120446"/>
    <n v="4"/>
    <n v="1.5807954067442997"/>
    <n v="111.78120480170293"/>
    <n v="5.566147195156286E-2"/>
    <n v="2.996"/>
    <m/>
  </r>
  <r>
    <s v="Range Resources"/>
    <s v="RRC"/>
    <x v="8"/>
    <n v="362.68700000000001"/>
    <n v="4.0839999999999996"/>
    <n v="20.356000000000002"/>
    <n v="84.887833333333333"/>
    <n v="509.32700000000006"/>
    <n v="0"/>
    <n v="0"/>
    <n v="0"/>
    <n v="0"/>
    <n v="0"/>
    <n v="84.887833333333333"/>
    <n v="509.32700000000006"/>
    <n v="1"/>
    <n v="0.71209066081319072"/>
    <n v="4.8110545877206583E-2"/>
    <n v="0.23979879330960269"/>
    <n v="21.513999999999999"/>
    <n v="239.828"/>
    <n v="2901.5329999999999"/>
    <n v="4469.585"/>
    <n v="-490.88400000000001"/>
    <n v="744.93083333333334"/>
    <n v="-81.813999999999851"/>
    <n v="-9.8959191157126314E-2"/>
    <m/>
    <n v="-340.286"/>
    <n v="1017.956"/>
    <n v="0"/>
    <n v="0"/>
    <n v="677.67000000000007"/>
    <n v="3.8039999999999998"/>
    <n v="4.9240000000000004"/>
    <n v="0"/>
    <n v="0"/>
    <n v="8.7279999999999998"/>
    <n v="17.716999999999999"/>
    <n v="36.308"/>
    <n v="0"/>
    <n v="0"/>
    <n v="54.024999999999999"/>
    <n v="1054.1880000000001"/>
    <n v="175.69800000000001"/>
    <n v="73.025000000000006"/>
    <n v="0"/>
    <n v="108.91099999999999"/>
    <n v="721.60500000000002"/>
    <n v="903.54099999999994"/>
    <n v="4289.2169999999996"/>
    <n v="1512.546"/>
    <n v="9075.2759999999998"/>
    <n v="2.8357597058205171"/>
    <n v="0.47262661763675284"/>
    <m/>
    <n v="533.10199999999998"/>
    <n v="0"/>
    <n v="194.01499999999999"/>
    <n v="194.01499999999999"/>
    <n v="0"/>
    <n v="0.1"/>
    <n v="0.1"/>
    <n v="0"/>
    <n v="33.86"/>
    <n v="33.86"/>
    <n v="0"/>
    <n v="166.43899999999999"/>
    <n v="166.43899999999999"/>
    <n v="1089.644"/>
    <n v="1089.644"/>
    <n v="1"/>
    <n v="927.51599999999996"/>
    <n v="10.926371466660907"/>
    <n v="1.8210619111101509"/>
    <m/>
    <n v="1831.0569999999998"/>
    <n v="183.10569999999998"/>
    <n v="0.2026534490410507"/>
    <n v="2.1570311410940319"/>
    <n v="0.35950519018233856"/>
    <n v="10.643939944279412"/>
    <n v="1.773989990713235"/>
    <n v="13.762131172481425"/>
    <n v="15.919162313575457"/>
    <n v="24.406071116760835"/>
    <n v="2.2936885287469035"/>
    <n v="2.6531937189292423"/>
    <n v="4.0676785194601388"/>
    <n v="4"/>
    <n v="1.3762131172481424"/>
    <n v="116.82374972810744"/>
    <n v="0.12929546055807922"/>
    <n v="4.1609999999999996"/>
    <m/>
  </r>
  <r>
    <s v="Range Resources"/>
    <s v="RRC"/>
    <x v="9"/>
    <n v="375.81099999999998"/>
    <n v="3.609"/>
    <n v="27.826000000000001"/>
    <n v="94.070166666666665"/>
    <n v="564.42100000000005"/>
    <n v="0"/>
    <n v="0"/>
    <n v="0"/>
    <n v="0"/>
    <n v="0"/>
    <n v="94.070166666666665"/>
    <n v="564.42100000000005"/>
    <n v="1"/>
    <n v="0.66583454548997989"/>
    <n v="3.8364979332802994E-2"/>
    <n v="0.29580047517721703"/>
    <n v="31.143000000000001"/>
    <n v="266.214"/>
    <n v="3518.2750000000001"/>
    <n v="5302.4170000000004"/>
    <n v="832.83200000000033"/>
    <n v="883.73616666666669"/>
    <n v="138.80533333333335"/>
    <n v="0.1863331830583824"/>
    <m/>
    <n v="-30.565999999999999"/>
    <n v="1393.1079999999999"/>
    <n v="262.81299999999999"/>
    <n v="0"/>
    <n v="1625.355"/>
    <n v="0.51500000000000001"/>
    <n v="1.2999999999999999E-2"/>
    <n v="0"/>
    <n v="0"/>
    <n v="0.52800000000000002"/>
    <n v="19.716000000000001"/>
    <n v="154.66399999999999"/>
    <n v="0"/>
    <n v="0"/>
    <n v="174.38"/>
    <n v="2674.8029999999999"/>
    <n v="445.8005"/>
    <n v="33.142000000000003"/>
    <n v="0"/>
    <n v="70.004999999999995"/>
    <n v="501.39000000000004"/>
    <n v="604.53700000000003"/>
    <n v="3516.3109999999997"/>
    <n v="1594.7070000000001"/>
    <n v="9568.2419999999984"/>
    <n v="2.2049887534199071"/>
    <n v="0.36749812556998457"/>
    <m/>
    <n v="662.54699999999991"/>
    <n v="0"/>
    <n v="184.77199999999999"/>
    <n v="184.77199999999999"/>
    <n v="0"/>
    <n v="-0.10199999999999999"/>
    <n v="-0.10199999999999999"/>
    <n v="0"/>
    <n v="25.443000000000001"/>
    <n v="25.443000000000001"/>
    <n v="0"/>
    <n v="168.21299999999999"/>
    <n v="168.21299999999999"/>
    <n v="1197.2149999999999"/>
    <n v="1197.2149999999999"/>
    <n v="1"/>
    <n v="1040.873"/>
    <n v="11.064857615148977"/>
    <n v="1.8441429358581625"/>
    <m/>
    <n v="1645.41"/>
    <n v="164.54100000000003"/>
    <n v="0.27217688909032867"/>
    <n v="1.7491305249095979"/>
    <n v="0.29152175415159964"/>
    <n v="6.4264476339470011"/>
    <n v="1.0710746056578333"/>
    <n v="13.269846368568885"/>
    <n v="15.018976893478483"/>
    <n v="19.696294002515884"/>
    <n v="2.2116410614281472"/>
    <n v="2.503162815579747"/>
    <n v="3.2827156670859807"/>
    <n v="4"/>
    <n v="1.3269846368568885"/>
    <n v="124.82966595323364"/>
    <n v="0.20648804945476229"/>
    <n v="7.4119999999999999"/>
    <m/>
  </r>
  <r>
    <s v="Southwestern Energy"/>
    <s v="SWN"/>
    <x v="0"/>
    <n v="109.881"/>
    <n v="0.61399999999999999"/>
    <n v="0"/>
    <n v="18.927500000000002"/>
    <n v="113.565"/>
    <n v="0"/>
    <n v="0"/>
    <n v="0"/>
    <n v="0"/>
    <n v="0"/>
    <n v="18.927500000000002"/>
    <n v="113.565"/>
    <n v="1"/>
    <n v="0.96756042794875186"/>
    <n v="3.2439572051248179E-2"/>
    <n v="0"/>
    <n v="1643"/>
    <n v="0"/>
    <n v="516.57799999999997"/>
    <n v="10374.578"/>
    <m/>
    <n v="1729.0963333333334"/>
    <m/>
    <m/>
    <m/>
    <n v="30.489000000000001"/>
    <n v="498.14100000000002"/>
    <n v="0.20399999999999999"/>
    <n v="0"/>
    <n v="528.83399999999995"/>
    <n v="8.1000000000000003E-2"/>
    <n v="1.585"/>
    <n v="0"/>
    <n v="0"/>
    <n v="1.6659999999999999"/>
    <n v="0"/>
    <n v="0"/>
    <n v="0"/>
    <n v="0"/>
    <n v="0"/>
    <n v="538.82999999999993"/>
    <n v="89.804999999999993"/>
    <n v="119.536"/>
    <n v="0"/>
    <n v="0"/>
    <n v="1375.2"/>
    <n v="1494.7360000000001"/>
    <m/>
    <m/>
    <m/>
    <m/>
    <m/>
    <s v="Includes oil and excludes sales. Capital includes capitalized costs incurred plus net unevaluated costs excluded from the full cost pool."/>
    <m/>
    <m/>
    <m/>
    <m/>
    <m/>
    <m/>
    <m/>
    <m/>
    <m/>
    <m/>
    <m/>
    <m/>
    <m/>
    <n v="0"/>
    <n v="0"/>
    <m/>
    <m/>
    <m/>
    <m/>
    <m/>
    <m/>
    <m/>
    <m/>
    <m/>
    <m/>
    <m/>
    <m/>
    <m/>
    <m/>
    <m/>
    <m/>
    <m/>
    <m/>
    <n v="4"/>
    <m/>
    <m/>
    <m/>
    <m/>
    <m/>
  </r>
  <r>
    <s v="Southwestern Energy"/>
    <s v="SWN"/>
    <x v="1"/>
    <n v="192.26499999999999"/>
    <n v="0.38500000000000001"/>
    <n v="0"/>
    <n v="32.42916666666666"/>
    <n v="194.57499999999999"/>
    <n v="0"/>
    <n v="0"/>
    <n v="0"/>
    <n v="0"/>
    <n v="0"/>
    <n v="32.42916666666666"/>
    <n v="194.57499999999999"/>
    <n v="1"/>
    <n v="0.98812797121932416"/>
    <n v="1.1872028780675834E-2"/>
    <n v="0"/>
    <n v="155"/>
    <n v="0"/>
    <n v="839.15800000000002"/>
    <n v="1769.1579999999999"/>
    <n v="-8605.42"/>
    <n v="294.85966666666667"/>
    <n v="-1434.2366666666667"/>
    <n v="-0.82947181080522014"/>
    <m/>
    <n v="100.23"/>
    <n v="919.62300000000005"/>
    <n v="0"/>
    <n v="0"/>
    <n v="1019.8530000000001"/>
    <n v="-0.35499999999999998"/>
    <n v="9.2999999999999999E-2"/>
    <n v="0"/>
    <n v="0"/>
    <n v="-0.26200000000000001"/>
    <n v="0"/>
    <n v="0"/>
    <n v="0"/>
    <n v="0"/>
    <n v="0"/>
    <n v="1018.2810000000001"/>
    <n v="169.71350000000001"/>
    <n v="121.871"/>
    <n v="0"/>
    <n v="0"/>
    <n v="1569.1"/>
    <n v="1690.971"/>
    <m/>
    <m/>
    <m/>
    <m/>
    <m/>
    <s v="Includes oil and excludes sales. Capital includes capitalized costs incurred plus net unevaluated costs excluded from the full cost pool."/>
    <m/>
    <m/>
    <m/>
    <m/>
    <m/>
    <m/>
    <m/>
    <m/>
    <m/>
    <m/>
    <m/>
    <m/>
    <m/>
    <n v="0"/>
    <n v="0"/>
    <m/>
    <m/>
    <m/>
    <m/>
    <m/>
    <m/>
    <m/>
    <m/>
    <m/>
    <m/>
    <m/>
    <m/>
    <m/>
    <m/>
    <m/>
    <m/>
    <m/>
    <m/>
    <n v="4"/>
    <m/>
    <m/>
    <m/>
    <m/>
    <m/>
  </r>
  <r>
    <s v="Southwestern Energy"/>
    <s v="SWN"/>
    <x v="2"/>
    <n v="299.69799999999998"/>
    <n v="0.124"/>
    <n v="0"/>
    <n v="50.073666666666668"/>
    <n v="300.44200000000001"/>
    <n v="0"/>
    <n v="0"/>
    <n v="0"/>
    <n v="0"/>
    <n v="0"/>
    <n v="50.073666666666668"/>
    <n v="300.44200000000001"/>
    <n v="1"/>
    <n v="0.99752364849122288"/>
    <n v="2.4763515087770686E-3"/>
    <n v="0"/>
    <n v="31"/>
    <n v="0"/>
    <n v="1677.5360000000001"/>
    <n v="1863.5360000000001"/>
    <n v="94.378000000000156"/>
    <n v="310.58933333333334"/>
    <n v="15.729666666666674"/>
    <n v="5.3346281112257948E-2"/>
    <m/>
    <n v="94.93"/>
    <n v="1683.2639999999999"/>
    <n v="1.7949999999999999"/>
    <n v="0"/>
    <n v="1779.989"/>
    <n v="-0.34599999999999997"/>
    <n v="2.1999999999999999E-2"/>
    <n v="0"/>
    <n v="0"/>
    <n v="-0.32399999999999995"/>
    <n v="0"/>
    <n v="0"/>
    <n v="0"/>
    <n v="0"/>
    <n v="0"/>
    <n v="1778.0450000000001"/>
    <n v="296.34083333333331"/>
    <n v="115.217"/>
    <n v="4.3719999999999999"/>
    <n v="52.177999999999997"/>
    <n v="1358.1089999999999"/>
    <n v="1529.876"/>
    <n v="4715.5830000000005"/>
    <n v="555.85933333333332"/>
    <n v="3335.1559999999999"/>
    <n v="8.483410671045073"/>
    <n v="1.4139017785075123"/>
    <s v="Includes oil and excludes sales. Capital includes capitalized costs incurred plus net unevaluated costs excluded from the full cost pool."/>
    <n v="231.34034"/>
    <n v="0"/>
    <n v="105.15469999999999"/>
    <n v="105.15469999999999"/>
    <n v="-64.968999999999994"/>
    <n v="0"/>
    <n v="-47.922518118515612"/>
    <n v="0"/>
    <n v="33.935000000000002"/>
    <n v="33.935000000000002"/>
    <n v="61.152000000000001"/>
    <n v="0"/>
    <n v="45.107017623535334"/>
    <n v="1582.596"/>
    <n v="2145.54"/>
    <n v="0.73762129813473531"/>
    <n v="367.61453950501971"/>
    <n v="7.3414743512229252"/>
    <n v="1.2235790585371542"/>
    <m/>
    <n v="1897.4905395050196"/>
    <n v="189.74905395050197"/>
    <n v="0.12402904153702782"/>
    <n v="3.7893980325753782"/>
    <n v="0.63156633876256307"/>
    <n v="30.552505974530856"/>
    <n v="5.0920843290884763"/>
    <n v="15.824885022267999"/>
    <n v="19.614283054843376"/>
    <n v="46.377390996798852"/>
    <n v="2.6374808370446665"/>
    <n v="3.2690471758072297"/>
    <n v="7.7295651661331428"/>
    <n v="4"/>
    <n v="1.5824885022267998"/>
    <n v="79.241001764337369"/>
    <n v="5.1795702242755211E-2"/>
    <m/>
    <n v="595"/>
  </r>
  <r>
    <s v="Southwestern Energy"/>
    <s v="SWN"/>
    <x v="3"/>
    <n v="403.63600000000002"/>
    <n v="0.17100000000000001"/>
    <n v="0"/>
    <n v="67.443666666666672"/>
    <n v="404.66200000000003"/>
    <n v="0"/>
    <n v="0"/>
    <n v="0"/>
    <n v="0"/>
    <n v="0"/>
    <n v="67.443666666666672"/>
    <n v="404.66200000000003"/>
    <n v="1"/>
    <n v="0.99746455066203399"/>
    <n v="2.5354493379660063E-3"/>
    <n v="0"/>
    <n v="46"/>
    <n v="0"/>
    <n v="2242.7420000000002"/>
    <n v="2518.7420000000002"/>
    <n v="655.20600000000013"/>
    <n v="419.79033333333336"/>
    <n v="109.20100000000002"/>
    <n v="0.35159288578272707"/>
    <m/>
    <n v="309.29199999999997"/>
    <n v="1429.4390000000001"/>
    <n v="0"/>
    <n v="0"/>
    <n v="1738.731"/>
    <n v="1.0589999999999999"/>
    <n v="0.28100000000000003"/>
    <n v="0"/>
    <n v="0"/>
    <n v="1.3399999999999999"/>
    <n v="0"/>
    <n v="0"/>
    <n v="0"/>
    <n v="0"/>
    <n v="0"/>
    <n v="1746.771"/>
    <n v="291.12849999999997"/>
    <n v="227.40899999999999"/>
    <n v="0"/>
    <n v="20.862000000000002"/>
    <n v="1524.4349999999999"/>
    <n v="1772.7059999999999"/>
    <n v="4993.5529999999999"/>
    <n v="757.18283333333329"/>
    <n v="4543.0969999999998"/>
    <n v="6.5949104762676214"/>
    <n v="1.0991517460446036"/>
    <s v="Includes oil and excludes sales. Capital includes capitalized costs incurred plus net unevaluated costs excluded from the full cost pool."/>
    <n v="335.86946"/>
    <n v="0"/>
    <n v="121.3986"/>
    <n v="121.3986"/>
    <n v="11.939"/>
    <n v="0"/>
    <n v="8.5602155716766202"/>
    <n v="0"/>
    <n v="44.2"/>
    <n v="44.2"/>
    <n v="55.581000000000003"/>
    <n v="0"/>
    <n v="39.851356201470658"/>
    <n v="1871.835"/>
    <n v="2610.663"/>
    <n v="0.71699602744590163"/>
    <n v="549.87963177314737"/>
    <n v="8.153169288539285"/>
    <n v="1.3588615480898807"/>
    <m/>
    <n v="2322.5856317731473"/>
    <n v="232.25856317731473"/>
    <n v="0.13101922325377965"/>
    <n v="3.4437416388588211"/>
    <n v="0.57395693980980356"/>
    <n v="26.284247100048926"/>
    <n v="4.3807078500081547"/>
    <n v="14.748079764806906"/>
    <n v="18.191821403665728"/>
    <n v="41.032326864855833"/>
    <n v="2.4580132941344841"/>
    <n v="3.0319702339442878"/>
    <n v="6.8387211441426388"/>
    <n v="4"/>
    <n v="1.4748079764806907"/>
    <n v="99.466457563104882"/>
    <n v="5.6109957073031222E-2"/>
    <m/>
    <n v="712"/>
  </r>
  <r>
    <s v="Southwestern Energy"/>
    <s v="SWN"/>
    <x v="4"/>
    <n v="499.43299999999999"/>
    <n v="9.7000000000000003E-2"/>
    <n v="0"/>
    <n v="83.335833333333326"/>
    <n v="500.01499999999999"/>
    <n v="0"/>
    <n v="0"/>
    <n v="0"/>
    <n v="0"/>
    <n v="0"/>
    <n v="83.335833333333326"/>
    <n v="500.01499999999999"/>
    <n v="1"/>
    <n v="0.99883603491895245"/>
    <n v="1.1639650810475687E-3"/>
    <n v="0"/>
    <n v="13"/>
    <n v="0"/>
    <n v="2633.1889999999999"/>
    <n v="2711.1889999999999"/>
    <n v="192.44699999999966"/>
    <n v="451.86483333333331"/>
    <n v="32.074499999999944"/>
    <n v="7.6405999502926314E-2"/>
    <m/>
    <n v="34.505000000000003"/>
    <n v="1459.4280000000001"/>
    <n v="1.2999999999999999E-2"/>
    <n v="0"/>
    <n v="1493.9460000000001"/>
    <n v="1.2190000000000001"/>
    <n v="-0.125"/>
    <n v="0"/>
    <n v="0"/>
    <n v="1.0940000000000001"/>
    <n v="0"/>
    <n v="0"/>
    <n v="0"/>
    <n v="0"/>
    <n v="0"/>
    <n v="1500.5100000000002"/>
    <n v="250.08500000000001"/>
    <n v="262.68600000000004"/>
    <n v="1.7000000000000001E-2"/>
    <n v="45.018999999999998"/>
    <n v="1633.7840000000001"/>
    <n v="1941.5060000000001"/>
    <n v="5244.0879999999997"/>
    <n v="837.55433333333326"/>
    <n v="5025.326"/>
    <n v="6.261191413253588"/>
    <n v="1.0435319022089313"/>
    <s v="Includes oil and excludes sales. Capital includes capitalized costs incurred plus net unevaluated costs excluded from the full cost pool."/>
    <n v="420.01259999999996"/>
    <n v="0"/>
    <n v="135.00405000000001"/>
    <n v="135.00405000000001"/>
    <n v="4.1980000000000004"/>
    <n v="0"/>
    <n v="2.969538021964476"/>
    <n v="0"/>
    <n v="53.95"/>
    <n v="53.95"/>
    <n v="65.421000000000006"/>
    <n v="0"/>
    <n v="46.276833476640782"/>
    <n v="2088.7629999999999"/>
    <n v="2952.8589999999999"/>
    <n v="0.70736970508920338"/>
    <n v="658.21302149860526"/>
    <n v="7.8983193084040115"/>
    <n v="1.3163865514006685"/>
    <m/>
    <n v="2599.7190214986053"/>
    <n v="259.97190214986057"/>
    <n v="0.13390218837843434"/>
    <n v="3.1195692387211653"/>
    <n v="0.51992820645352755"/>
    <n v="23.297373078807638"/>
    <n v="3.8828955131346063"/>
    <n v="14.1595107216576"/>
    <n v="17.279079960378766"/>
    <n v="37.456883800465235"/>
    <n v="2.3599184536096001"/>
    <n v="2.8798466600631274"/>
    <n v="6.2428139667442064"/>
    <n v="4"/>
    <n v="1.41595107216576"/>
    <n v="117.9994625581604"/>
    <n v="6.0777284519419668E-2"/>
    <m/>
    <n v="943"/>
  </r>
  <r>
    <s v="Southwestern Energy"/>
    <s v="SWN"/>
    <x v="5"/>
    <n v="564.48400000000004"/>
    <n v="8.3000000000000004E-2"/>
    <n v="0"/>
    <n v="94.163666666666671"/>
    <n v="564.98200000000008"/>
    <n v="0"/>
    <n v="0"/>
    <n v="0"/>
    <n v="0"/>
    <n v="0"/>
    <n v="94.163666666666671"/>
    <n v="564.98200000000008"/>
    <n v="1"/>
    <n v="0.99911855598939425"/>
    <n v="8.8144401060564765E-4"/>
    <n v="0"/>
    <n v="1"/>
    <n v="0"/>
    <n v="821"/>
    <n v="827"/>
    <n v="-1884.1889999999999"/>
    <n v="137.83333333333334"/>
    <n v="-314.03149999999994"/>
    <n v="-0.69496777981911251"/>
    <m/>
    <n v="-2087.9850000000001"/>
    <n v="918.59400000000005"/>
    <n v="0"/>
    <n v="0"/>
    <n v="-1169.3910000000001"/>
    <n v="-4.3999999999999997E-2"/>
    <n v="0.154"/>
    <n v="0"/>
    <n v="0"/>
    <n v="0.11"/>
    <n v="0"/>
    <n v="0"/>
    <n v="0"/>
    <n v="0"/>
    <n v="0"/>
    <n v="-1168.731"/>
    <n v="-194.7885"/>
    <n v="217.22200000000001"/>
    <n v="0"/>
    <n v="194.78"/>
    <n v="1492.8409999999999"/>
    <n v="1904.8429999999998"/>
    <n v="5619.0550000000003"/>
    <n v="346.42499999999995"/>
    <n v="2078.5500000000002"/>
    <n v="16.220119795049438"/>
    <n v="2.7033532991749056"/>
    <s v="Includes oil and excludes sales. Capital includes capitalized costs incurred plus net unevaluated costs excluded from the full cost pool."/>
    <n v="451.98560000000009"/>
    <n v="0"/>
    <n v="146.89532000000003"/>
    <n v="146.89532000000003"/>
    <n v="0.81799999999999995"/>
    <n v="0"/>
    <n v="0.58878021978021977"/>
    <n v="0"/>
    <n v="56.262"/>
    <n v="56.262"/>
    <n v="96.296000000000006"/>
    <n v="0"/>
    <n v="69.311956043956044"/>
    <n v="1965"/>
    <n v="2730"/>
    <n v="0.71978021978021978"/>
    <n v="725.04365626373635"/>
    <n v="7.6998239547143408"/>
    <n v="1.2833039924523901"/>
    <m/>
    <n v="2629.8866562637363"/>
    <n v="262.98866562637363"/>
    <n v="0.1380631714143232"/>
    <n v="2.7928889659462457"/>
    <n v="0.46548149432437419"/>
    <n v="20.229065704748113"/>
    <n v="3.3715109507913517"/>
    <n v="23.919943749763778"/>
    <n v="26.712832715710025"/>
    <n v="44.149009454511891"/>
    <n v="3.9866572916272958"/>
    <n v="4.4521387859516697"/>
    <n v="7.3581682424186479"/>
    <n v="4"/>
    <n v="2.3919943749763779"/>
    <n v="225.23896099381733"/>
    <n v="0.11824542022298812"/>
    <m/>
    <n v="1023.888"/>
  </r>
  <r>
    <s v="Southwestern Energy"/>
    <s v="SWN"/>
    <x v="6"/>
    <n v="655.70399999999995"/>
    <n v="0.188"/>
    <n v="0"/>
    <n v="109.47199999999999"/>
    <n v="656.83199999999999"/>
    <n v="0"/>
    <n v="0"/>
    <n v="0"/>
    <n v="0"/>
    <n v="0"/>
    <n v="109.47199999999999"/>
    <n v="656.83199999999999"/>
    <n v="1"/>
    <n v="0.99828266588716741"/>
    <n v="1.7173341128325051E-3"/>
    <n v="0"/>
    <n v="1"/>
    <n v="0"/>
    <n v="2737"/>
    <n v="2743"/>
    <n v="1916"/>
    <n v="457.16666666666669"/>
    <n v="319.33333333333337"/>
    <n v="2.3168077388149939"/>
    <m/>
    <n v="325.37400000000002"/>
    <n v="3283.4949999999999"/>
    <n v="4.1139999999999999"/>
    <n v="0"/>
    <n v="3612.9829999999997"/>
    <n v="8.7999999999999995E-2"/>
    <n v="0.22900000000000001"/>
    <n v="0"/>
    <n v="0"/>
    <n v="0.317"/>
    <n v="0"/>
    <n v="0"/>
    <n v="0"/>
    <n v="0"/>
    <n v="0"/>
    <n v="3614.8849999999998"/>
    <n v="602.48083333333329"/>
    <n v="151.304"/>
    <n v="0.57199999999999995"/>
    <n v="180.66399999999999"/>
    <n v="1662.1379999999999"/>
    <n v="1994.6779999999999"/>
    <n v="5841.027"/>
    <n v="657.77733333333333"/>
    <n v="3946.6639999999998"/>
    <n v="8.8799456959092549"/>
    <n v="1.4799909493182091"/>
    <s v="Includes oil and excludes sales. Capital includes capitalized costs incurred plus net unevaluated costs excluded from the full cost pool."/>
    <n v="564.87551999999994"/>
    <n v="0"/>
    <n v="157.63968"/>
    <n v="157.63968"/>
    <n v="18.786999999999999"/>
    <n v="0"/>
    <n v="13.373985193959136"/>
    <n v="0"/>
    <n v="65.683199999999999"/>
    <n v="65.683199999999999"/>
    <n v="100"/>
    <n v="0"/>
    <n v="71.187444477346759"/>
    <n v="2404"/>
    <n v="3377"/>
    <n v="0.71187444477346762"/>
    <n v="872.75982967130585"/>
    <n v="7.9724480202362784"/>
    <n v="1.3287413367060463"/>
    <m/>
    <n v="2867.4378296713057"/>
    <n v="286.74378296713058"/>
    <n v="0.14375442200050864"/>
    <n v="2.619334468787732"/>
    <n v="0.43655574479795534"/>
    <n v="18.220896667641039"/>
    <n v="3.0368161112735068"/>
    <n v="16.852393716145535"/>
    <n v="19.471728184933266"/>
    <n v="35.073290383786571"/>
    <n v="2.8087322860242554"/>
    <n v="3.245288030822211"/>
    <n v="5.8455483972977618"/>
    <n v="4"/>
    <n v="1.6852393716145535"/>
    <n v="184.48652448938839"/>
    <n v="9.2489376475495488E-2"/>
    <m/>
    <n v="956.46900000000005"/>
  </r>
  <r>
    <s v="Southwestern Energy"/>
    <s v="SWN"/>
    <x v="7"/>
    <n v="765"/>
    <n v="0.23499999999999999"/>
    <n v="0.26100000000000001"/>
    <n v="127.996"/>
    <n v="767.976"/>
    <n v="0"/>
    <n v="0"/>
    <n v="0"/>
    <n v="0"/>
    <n v="0"/>
    <n v="127.996"/>
    <n v="767.976"/>
    <n v="1"/>
    <n v="0.9961248789024657"/>
    <n v="1.8359948748398387E-3"/>
    <n v="2.0391262226944593E-3"/>
    <n v="30.17"/>
    <n v="80.066999999999993"/>
    <n v="4134"/>
    <n v="4795.4219999999996"/>
    <n v="3968.4219999999996"/>
    <n v="799.23699999999997"/>
    <n v="661.4036666666666"/>
    <n v="4.7985755743651746"/>
    <m/>
    <n v="542"/>
    <n v="1691"/>
    <n v="1367"/>
    <n v="0"/>
    <n v="3600"/>
    <n v="-1.4E-2"/>
    <n v="0.25"/>
    <n v="37.246000000000002"/>
    <n v="0"/>
    <n v="37.481999999999999"/>
    <n v="66"/>
    <n v="48"/>
    <n v="118.816"/>
    <n v="0"/>
    <n v="232.816"/>
    <n v="5221.7879999999996"/>
    <n v="870.298"/>
    <n v="3933"/>
    <n v="1455"/>
    <n v="229"/>
    <n v="1600"/>
    <n v="7217"/>
    <n v="13058.027"/>
    <n v="1528.0753333333332"/>
    <n v="9168.4519999999993"/>
    <n v="8.5454078834682239"/>
    <n v="1.4242346472447041"/>
    <s v="The significant increase in the Company’s reserves in 2014 was primarily due to the acquisition of approximately 413,000 net acres in Southwest Appalachia, successful development drilling programs in the Fayetteville Shale and Northeast Appalachia and upward performance revisions in Northeast Appalachia."/>
    <n v="698.85816"/>
    <n v="0"/>
    <n v="184.31423999999998"/>
    <n v="184.31423999999998"/>
    <n v="28"/>
    <n v="0"/>
    <n v="19.786666666666665"/>
    <n v="0"/>
    <n v="84.477360000000004"/>
    <n v="84.477360000000004"/>
    <n v="101"/>
    <n v="0"/>
    <n v="71.373333333333335"/>
    <n v="2862"/>
    <n v="4050"/>
    <n v="0.70666666666666667"/>
    <n v="1058.8097600000001"/>
    <n v="8.2722097565548935"/>
    <n v="1.3787016260924823"/>
    <m/>
    <n v="8275.8097600000001"/>
    <n v="827.58097600000008"/>
    <n v="0.1146710511292781"/>
    <n v="6.4656784274508583"/>
    <n v="1.0776130712418097"/>
    <n v="56.384574517953688"/>
    <n v="9.397429086325614"/>
    <n v="16.817617640023116"/>
    <n v="23.283296067473973"/>
    <n v="73.20219215797681"/>
    <n v="2.8029362733371865"/>
    <n v="3.8805493445789963"/>
    <n v="12.200365359662801"/>
    <n v="4"/>
    <n v="1.6817617640023115"/>
    <n v="215.25877874523985"/>
    <n v="2.9826628619265601E-2"/>
    <m/>
    <n v="4646"/>
  </r>
  <r>
    <s v="Southwestern Energy"/>
    <s v="SWN"/>
    <x v="8"/>
    <n v="899"/>
    <n v="2.2650000000000001"/>
    <n v="10.702"/>
    <n v="162.80033333333333"/>
    <n v="976.80200000000002"/>
    <n v="0"/>
    <n v="0"/>
    <n v="0"/>
    <n v="0"/>
    <n v="0"/>
    <n v="162.80033333333333"/>
    <n v="976.80200000000002"/>
    <n v="1"/>
    <n v="0.92035028593307544"/>
    <n v="1.3912747926396548E-2"/>
    <n v="6.5736966140527972E-2"/>
    <n v="0"/>
    <n v="0"/>
    <n v="443"/>
    <n v="443"/>
    <n v="-4352.4219999999996"/>
    <n v="73.833333333333329"/>
    <n v="-725.4036666666666"/>
    <n v="-0.90762022612399906"/>
    <m/>
    <n v="-3458"/>
    <n v="546"/>
    <n v="97"/>
    <n v="0"/>
    <n v="-2815"/>
    <n v="-28.393999999999998"/>
    <n v="1.367"/>
    <n v="0.52500000000000002"/>
    <n v="0"/>
    <n v="-26.501999999999999"/>
    <n v="-75.664000000000001"/>
    <n v="6.274"/>
    <n v="2.34"/>
    <n v="0"/>
    <n v="-67.05"/>
    <n v="-3376.3119999999999"/>
    <n v="-562.71866666666665"/>
    <n v="692"/>
    <n v="81"/>
    <n v="560"/>
    <n v="1417"/>
    <n v="2750"/>
    <n v="13866.521000000001"/>
    <n v="715.27166666666653"/>
    <n v="4291.6299999999992"/>
    <n v="19.386369747625032"/>
    <n v="3.2310616246041723"/>
    <m/>
    <n v="898.65784000000008"/>
    <n v="0"/>
    <n v="205.12842000000001"/>
    <n v="205.12842000000001"/>
    <n v="-6"/>
    <n v="0"/>
    <n v="-3.9987146529562985"/>
    <n v="0"/>
    <n v="97.680200000000013"/>
    <n v="97.680200000000013"/>
    <n v="200"/>
    <n v="0"/>
    <n v="133.29048843187661"/>
    <n v="2074"/>
    <n v="3112"/>
    <n v="0.66645244215938304"/>
    <n v="1330.7582337789204"/>
    <n v="8.1741738885398707"/>
    <n v="1.362362314756645"/>
    <m/>
    <n v="4080.7582337789204"/>
    <n v="408.07582337789205"/>
    <n v="0.14839120850105164"/>
    <n v="2.5066031194319343"/>
    <n v="0.41776718657198902"/>
    <n v="16.891857305779475"/>
    <n v="2.8153095509632453"/>
    <n v="27.560543636164901"/>
    <n v="30.067146755596834"/>
    <n v="44.452400941944376"/>
    <n v="4.5934239393608172"/>
    <n v="5.0111911259328066"/>
    <n v="7.408733490324062"/>
    <n v="4"/>
    <n v="2.75605436361649"/>
    <n v="448.68656908155242"/>
    <n v="0.16315875239329178"/>
    <m/>
    <n v="3727"/>
  </r>
  <r>
    <s v="Southwestern Energy"/>
    <s v="SWN"/>
    <x v="9"/>
    <n v="788"/>
    <n v="2.1920000000000002"/>
    <n v="12.372"/>
    <n v="145.89733333333334"/>
    <n v="875.38400000000001"/>
    <n v="0"/>
    <n v="0"/>
    <n v="0"/>
    <n v="0"/>
    <n v="0"/>
    <n v="145.89733333333334"/>
    <n v="875.38400000000001"/>
    <n v="1"/>
    <n v="0.90017637973734954"/>
    <n v="1.5024263637443682E-2"/>
    <n v="8.4799356625206768E-2"/>
    <n v="0"/>
    <n v="0"/>
    <n v="77"/>
    <n v="77"/>
    <n v="-366"/>
    <n v="12.833333333333334"/>
    <n v="-60.999999999999993"/>
    <n v="-0.82618510158013536"/>
    <m/>
    <n v="-446"/>
    <n v="198"/>
    <n v="0"/>
    <n v="0"/>
    <n v="-248"/>
    <n v="1.5640000000000001"/>
    <n v="2.4169999999999998"/>
    <n v="0"/>
    <n v="0"/>
    <n v="3.9809999999999999"/>
    <n v="13.794"/>
    <n v="11.576000000000001"/>
    <n v="0"/>
    <n v="0"/>
    <n v="25.37"/>
    <n v="-71.894000000000005"/>
    <n v="-11.982333333333333"/>
    <n v="171"/>
    <n v="0"/>
    <n v="17"/>
    <n v="433"/>
    <n v="621"/>
    <n v="10588"/>
    <n v="295.59700000000004"/>
    <n v="1773.5819999999997"/>
    <n v="35.819037405657021"/>
    <n v="5.9698395676095055"/>
    <m/>
    <n v="761.58407999999997"/>
    <n v="0"/>
    <n v="192.58448000000001"/>
    <n v="192.58448000000001"/>
    <n v="-15"/>
    <n v="0"/>
    <n v="-8.7763975155279503"/>
    <n v="0"/>
    <n v="87.53840000000001"/>
    <n v="87.53840000000001"/>
    <n v="226"/>
    <n v="0"/>
    <n v="132.23105590062113"/>
    <n v="1413"/>
    <n v="2415"/>
    <n v="0.58509316770186337"/>
    <n v="1165.1616183850933"/>
    <n v="7.9861748790365823"/>
    <n v="1.331029146506097"/>
    <m/>
    <n v="1786.1616183850933"/>
    <n v="178.61616183850936"/>
    <n v="0.28762666962722921"/>
    <n v="1.2242592633987555"/>
    <n v="0.20404321056645924"/>
    <n v="4.2564177549509701"/>
    <n v="0.70940295915849505"/>
    <n v="43.805212284693603"/>
    <n v="45.02947154809236"/>
    <n v="48.061630039644569"/>
    <n v="7.3008687141156026"/>
    <n v="7.5049119246820615"/>
    <n v="8.0102716732740973"/>
    <n v="4"/>
    <n v="4.3805212284693607"/>
    <n v="639.10636584373719"/>
    <n v="1.0291567887982886"/>
    <m/>
    <n v="2105"/>
  </r>
</pivotCacheRecords>
</file>

<file path=xl/pivotCache/pivotCacheRecords2.xml><?xml version="1.0" encoding="utf-8"?>
<pivotCacheRecords xmlns="http://schemas.openxmlformats.org/spreadsheetml/2006/main" xmlns:r="http://schemas.openxmlformats.org/officeDocument/2006/relationships" count="160">
  <r>
    <x v="0"/>
    <s v="APC"/>
    <x v="0"/>
    <n v="698"/>
    <n v="64"/>
    <n v="0"/>
    <n v="180.33333333333331"/>
    <n v="1082"/>
    <n v="0"/>
    <n v="32"/>
    <n v="0"/>
    <n v="32"/>
    <n v="192"/>
    <n v="212.33333333333331"/>
    <n v="1274"/>
    <n v="0.84929356357927788"/>
    <n v="0.64510166358595189"/>
    <n v="0.35489833641404811"/>
    <n v="0"/>
    <n v="254"/>
    <n v="16"/>
    <n v="2196"/>
    <n v="3816"/>
    <m/>
    <n v="636"/>
    <m/>
    <m/>
    <m/>
    <n v="464"/>
    <n v="460"/>
    <n v="4"/>
    <n v="0"/>
    <n v="928"/>
    <n v="33"/>
    <n v="8"/>
    <n v="0"/>
    <n v="0"/>
    <n v="41"/>
    <n v="0"/>
    <n v="0"/>
    <n v="0"/>
    <n v="0"/>
    <n v="0"/>
    <n v="1174"/>
    <n v="195.66666666666666"/>
    <n v="108"/>
    <n v="9"/>
    <n v="575"/>
    <n v="2623"/>
    <n v="3315"/>
    <m/>
    <m/>
    <m/>
    <m/>
    <m/>
    <s v="Costs &amp; Adds include oil; Sales excluded. Allocation of fair value adjustment ommitted in prperty acquisition costs."/>
    <m/>
    <m/>
    <m/>
    <m/>
    <m/>
    <m/>
    <m/>
    <m/>
    <m/>
    <m/>
    <m/>
    <m/>
    <m/>
    <n v="0"/>
    <n v="0"/>
    <m/>
    <m/>
    <m/>
    <m/>
    <m/>
    <m/>
    <m/>
    <m/>
    <m/>
    <m/>
    <m/>
    <m/>
    <m/>
    <m/>
    <m/>
    <m/>
    <m/>
    <m/>
    <n v="4"/>
    <m/>
    <m/>
    <m/>
    <m/>
    <m/>
    <m/>
    <m/>
    <m/>
    <m/>
    <m/>
    <m/>
    <m/>
    <m/>
    <m/>
    <m/>
    <m/>
    <m/>
    <m/>
    <m/>
    <m/>
    <m/>
    <m/>
    <m/>
    <m/>
    <m/>
    <m/>
    <m/>
    <m/>
    <m/>
    <m/>
    <m/>
    <m/>
    <m/>
    <m/>
    <m/>
    <m/>
    <m/>
    <m/>
    <m/>
    <m/>
    <m/>
    <m/>
    <m/>
    <m/>
    <m/>
    <m/>
    <m/>
    <m/>
    <m/>
    <m/>
    <m/>
    <n v="72.34"/>
    <n v="6.97"/>
    <n v="12.91"/>
    <m/>
    <m/>
    <m/>
    <m/>
    <m/>
    <m/>
    <m/>
    <m/>
    <m/>
    <m/>
    <m/>
    <m/>
  </r>
  <r>
    <x v="0"/>
    <s v="APC"/>
    <x v="1"/>
    <n v="750"/>
    <n v="40"/>
    <n v="14"/>
    <n v="179"/>
    <n v="1074"/>
    <n v="0"/>
    <n v="26"/>
    <n v="0"/>
    <n v="26"/>
    <n v="156"/>
    <n v="205"/>
    <n v="1230"/>
    <n v="0.87317073170731707"/>
    <n v="0.6983240223463687"/>
    <n v="0.22346368715083798"/>
    <n v="7.8212290502793297E-2"/>
    <n v="202"/>
    <n v="55"/>
    <n v="1988"/>
    <n v="3530"/>
    <n v="-286"/>
    <n v="588.33333333333326"/>
    <n v="-47.666666666666742"/>
    <n v="-7.4947589098532608E-2"/>
    <m/>
    <n v="199"/>
    <n v="336"/>
    <n v="0"/>
    <n v="0"/>
    <n v="535"/>
    <n v="-17"/>
    <n v="36"/>
    <n v="0"/>
    <n v="0"/>
    <n v="19"/>
    <n v="76"/>
    <n v="4"/>
    <n v="0"/>
    <n v="0"/>
    <n v="80"/>
    <n v="1129"/>
    <n v="188.16666666666669"/>
    <n v="391"/>
    <n v="26"/>
    <n v="622"/>
    <n v="3240"/>
    <n v="4279"/>
    <m/>
    <m/>
    <m/>
    <m/>
    <m/>
    <s v="Costs &amp; Adds include oil; Sales excluded"/>
    <m/>
    <m/>
    <m/>
    <m/>
    <m/>
    <m/>
    <m/>
    <m/>
    <m/>
    <m/>
    <m/>
    <m/>
    <m/>
    <n v="0"/>
    <n v="0"/>
    <m/>
    <m/>
    <m/>
    <m/>
    <m/>
    <m/>
    <m/>
    <m/>
    <m/>
    <m/>
    <m/>
    <m/>
    <m/>
    <m/>
    <m/>
    <m/>
    <m/>
    <m/>
    <n v="4"/>
    <m/>
    <m/>
    <m/>
    <m/>
    <m/>
    <m/>
    <m/>
    <m/>
    <m/>
    <m/>
    <m/>
    <m/>
    <m/>
    <m/>
    <m/>
    <m/>
    <m/>
    <m/>
    <m/>
    <m/>
    <m/>
    <m/>
    <m/>
    <m/>
    <m/>
    <m/>
    <m/>
    <m/>
    <m/>
    <m/>
    <m/>
    <m/>
    <m/>
    <m/>
    <m/>
    <m/>
    <m/>
    <m/>
    <m/>
    <m/>
    <m/>
    <m/>
    <m/>
    <m/>
    <m/>
    <m/>
    <m/>
    <m/>
    <m/>
    <m/>
    <m/>
    <n v="99.67"/>
    <n v="8.86"/>
    <n v="15.2"/>
    <m/>
    <m/>
    <m/>
    <m/>
    <m/>
    <m/>
    <m/>
    <m/>
    <m/>
    <m/>
    <m/>
    <m/>
  </r>
  <r>
    <x v="0"/>
    <s v="APC"/>
    <x v="2"/>
    <n v="817"/>
    <n v="44"/>
    <n v="19"/>
    <n v="199.16666666666666"/>
    <n v="1195"/>
    <n v="0"/>
    <n v="25"/>
    <n v="0"/>
    <n v="25"/>
    <n v="150"/>
    <n v="224.16666666666666"/>
    <n v="1345"/>
    <n v="0.88847583643122674"/>
    <n v="0.68368200836820081"/>
    <n v="0.22092050209205022"/>
    <n v="9.5397489539748956E-2"/>
    <n v="200"/>
    <n v="61"/>
    <n v="1880"/>
    <n v="3446"/>
    <n v="-84"/>
    <n v="574.33333333333326"/>
    <n v="-14"/>
    <n v="-2.3796033994334279E-2"/>
    <m/>
    <n v="228"/>
    <n v="210"/>
    <n v="149"/>
    <n v="0"/>
    <n v="587"/>
    <n v="45"/>
    <n v="13"/>
    <n v="1"/>
    <n v="0"/>
    <n v="59"/>
    <n v="69"/>
    <n v="2"/>
    <n v="6"/>
    <n v="0"/>
    <n v="77"/>
    <n v="1403"/>
    <n v="233.83333333333331"/>
    <n v="270"/>
    <n v="266"/>
    <n v="743"/>
    <n v="2005"/>
    <n v="3284"/>
    <n v="10878"/>
    <n v="617.66666666666674"/>
    <n v="3706"/>
    <n v="17.611440906637881"/>
    <n v="2.935240151106314"/>
    <s v="Costs &amp; Adds include oil; Sales excluded"/>
    <n v="1412"/>
    <m/>
    <n v="294"/>
    <n v="294"/>
    <n v="194"/>
    <n v="0"/>
    <n v="157.08036350628709"/>
    <n v="0"/>
    <n v="304"/>
    <n v="304"/>
    <n v="732"/>
    <n v="0"/>
    <n v="592.69497982784617"/>
    <n v="7482"/>
    <n v="8210"/>
    <n v="0.80969259539323246"/>
    <n v="2759.7753433341331"/>
    <n v="13.856612602514476"/>
    <n v="2.3094354337524128"/>
    <s v="US Operating loss $5; Non-Income tax is production tax"/>
    <n v="6043.7753433341331"/>
    <n v="604.37753433341334"/>
    <n v="0.18403700801870077"/>
    <n v="3.0345315531384771"/>
    <n v="0.50575525885641281"/>
    <n v="16.488702928870293"/>
    <n v="2.7481171548117156"/>
    <n v="31.468053509152355"/>
    <n v="34.502585062290834"/>
    <n v="47.956756438022651"/>
    <n v="5.2446755848587268"/>
    <n v="5.7504308437151392"/>
    <n v="7.9927927396704419"/>
    <n v="4"/>
    <n v="3.1468053509152356"/>
    <n v="626.73873239061777"/>
    <n v="0.19084614262808092"/>
    <n v="321"/>
    <m/>
    <m/>
    <m/>
    <m/>
    <m/>
    <m/>
    <m/>
    <m/>
    <m/>
    <m/>
    <m/>
    <m/>
    <m/>
    <m/>
    <m/>
    <m/>
    <m/>
    <m/>
    <m/>
    <m/>
    <m/>
    <m/>
    <m/>
    <m/>
    <m/>
    <m/>
    <m/>
    <m/>
    <m/>
    <m/>
    <m/>
    <m/>
    <m/>
    <m/>
    <m/>
    <m/>
    <m/>
    <m/>
    <m/>
    <m/>
    <m/>
    <m/>
    <m/>
    <m/>
    <m/>
    <m/>
    <m/>
    <n v="61.95"/>
    <n v="3.94"/>
    <n v="8.99"/>
    <m/>
    <m/>
    <m/>
    <m/>
    <m/>
    <m/>
    <m/>
    <m/>
    <m/>
    <m/>
    <m/>
    <m/>
  </r>
  <r>
    <x v="0"/>
    <s v="APC"/>
    <x v="3"/>
    <n v="829"/>
    <n v="48"/>
    <n v="23"/>
    <n v="209.16666666666666"/>
    <n v="1255"/>
    <n v="0"/>
    <n v="26"/>
    <n v="0"/>
    <n v="26"/>
    <n v="156"/>
    <n v="235.16666666666666"/>
    <n v="1411"/>
    <n v="0.88944011339475548"/>
    <n v="0.66055776892430274"/>
    <n v="0.22948207171314741"/>
    <n v="0.10996015936254981"/>
    <n v="195"/>
    <n v="85"/>
    <n v="2135"/>
    <n v="3815"/>
    <n v="369"/>
    <n v="635.83333333333326"/>
    <n v="61.5"/>
    <n v="0.10708067324434128"/>
    <m/>
    <n v="851"/>
    <n v="363"/>
    <n v="7"/>
    <n v="0"/>
    <n v="1221"/>
    <n v="32"/>
    <n v="13"/>
    <n v="0"/>
    <n v="0"/>
    <n v="45"/>
    <n v="60"/>
    <n v="10"/>
    <n v="0"/>
    <n v="0"/>
    <n v="70"/>
    <n v="1911"/>
    <n v="318.5"/>
    <n v="428"/>
    <n v="22"/>
    <n v="693"/>
    <n v="2368"/>
    <n v="3511"/>
    <n v="11074"/>
    <n v="740.5"/>
    <n v="4443"/>
    <n v="14.954760297096556"/>
    <n v="2.4924600495160929"/>
    <s v="Costs &amp; Adds include oil; Sales excluded"/>
    <n v="1536"/>
    <m/>
    <n v="274"/>
    <n v="274"/>
    <n v="307"/>
    <n v="0"/>
    <n v="252.07882965829268"/>
    <n v="0"/>
    <n v="456"/>
    <n v="456"/>
    <n v="856"/>
    <n v="0"/>
    <n v="702.86474979641218"/>
    <n v="10009"/>
    <n v="10842"/>
    <n v="0.82110367966870579"/>
    <n v="3220.9435794547048"/>
    <n v="15.398933447592215"/>
    <n v="2.5664889079320359"/>
    <s v="Tax loss due to $4 billion Deepwater Horizon settlement with BP "/>
    <n v="6731.9435794547044"/>
    <n v="673.19435794547053"/>
    <n v="0.19173863797934221"/>
    <n v="3.2184590818110146"/>
    <n v="0.53640984696850247"/>
    <n v="16.785657370517928"/>
    <n v="2.7976095617529881"/>
    <n v="30.353693744688769"/>
    <n v="33.572152826499781"/>
    <n v="47.139351115206694"/>
    <n v="5.0589489574481288"/>
    <n v="5.5953588044166311"/>
    <n v="7.8565585192011174"/>
    <n v="4"/>
    <n v="3.035369374468877"/>
    <n v="634.89809415974003"/>
    <n v="0.18083112906856735"/>
    <n v="364"/>
    <m/>
    <m/>
    <m/>
    <m/>
    <m/>
    <m/>
    <m/>
    <m/>
    <m/>
    <m/>
    <m/>
    <m/>
    <m/>
    <m/>
    <m/>
    <m/>
    <m/>
    <m/>
    <m/>
    <m/>
    <m/>
    <m/>
    <m/>
    <m/>
    <m/>
    <m/>
    <m/>
    <m/>
    <m/>
    <m/>
    <m/>
    <m/>
    <m/>
    <m/>
    <m/>
    <m/>
    <m/>
    <m/>
    <m/>
    <m/>
    <m/>
    <m/>
    <m/>
    <m/>
    <m/>
    <m/>
    <m/>
    <n v="79.48"/>
    <n v="4.37"/>
    <n v="11.83"/>
    <m/>
    <m/>
    <m/>
    <m/>
    <m/>
    <m/>
    <m/>
    <m/>
    <m/>
    <m/>
    <m/>
    <m/>
  </r>
  <r>
    <x v="0"/>
    <s v="APC"/>
    <x v="4"/>
    <n v="852"/>
    <n v="48"/>
    <n v="26"/>
    <n v="216"/>
    <n v="1296"/>
    <n v="0"/>
    <n v="30"/>
    <n v="0"/>
    <n v="30"/>
    <n v="180"/>
    <n v="246"/>
    <n v="1476"/>
    <n v="0.87804878048780488"/>
    <n v="0.65740740740740744"/>
    <n v="0.22222222222222221"/>
    <n v="0.12037037037037036"/>
    <n v="184"/>
    <n v="94"/>
    <n v="2252"/>
    <n v="3920"/>
    <n v="105"/>
    <n v="653.33333333333326"/>
    <n v="17.5"/>
    <n v="2.7522935779816519E-2"/>
    <m/>
    <n v="550"/>
    <n v="614"/>
    <n v="0"/>
    <n v="0"/>
    <n v="1164"/>
    <n v="44"/>
    <n v="52"/>
    <n v="0"/>
    <n v="0"/>
    <n v="96"/>
    <n v="68"/>
    <n v="20"/>
    <n v="0"/>
    <n v="0"/>
    <n v="88"/>
    <n v="2268"/>
    <n v="378"/>
    <n v="610"/>
    <n v="0"/>
    <n v="666"/>
    <n v="2970"/>
    <n v="4246"/>
    <n v="11041"/>
    <n v="930.33333333333326"/>
    <n v="5582"/>
    <n v="11.867789322823361"/>
    <n v="1.9779648871372268"/>
    <s v="Costs &amp; Adds include oil; Sales excluded"/>
    <n v="1729"/>
    <m/>
    <n v="322"/>
    <n v="322"/>
    <n v="262"/>
    <n v="0"/>
    <n v="212.68160558856704"/>
    <n v="0"/>
    <n v="646"/>
    <n v="646"/>
    <n v="986"/>
    <n v="0"/>
    <n v="800.39718744399659"/>
    <n v="12834"/>
    <n v="13882"/>
    <n v="0.81176185339147722"/>
    <n v="3710.0787930325637"/>
    <n v="17.176290708484093"/>
    <n v="2.8627151180806818"/>
    <m/>
    <n v="7956.0787930325641"/>
    <n v="795.60787930325648"/>
    <n v="0.18737820991598128"/>
    <n v="3.6833698115891504"/>
    <n v="0.6138949685981917"/>
    <n v="19.657407407407408"/>
    <n v="3.2762345679012346"/>
    <n v="29.044080031307452"/>
    <n v="32.727449842896604"/>
    <n v="48.701487438714864"/>
    <n v="4.8406800052179086"/>
    <n v="5.4545749738161007"/>
    <n v="8.1169145731191428"/>
    <n v="4"/>
    <n v="2.9044080031307451"/>
    <n v="627.35212867624091"/>
    <n v="0.14775132564207274"/>
    <n v="343"/>
    <m/>
    <n v="15230"/>
    <m/>
    <m/>
    <m/>
    <m/>
    <m/>
    <m/>
    <m/>
    <m/>
    <m/>
    <m/>
    <m/>
    <m/>
    <m/>
    <m/>
    <m/>
    <m/>
    <m/>
    <m/>
    <m/>
    <m/>
    <m/>
    <m/>
    <m/>
    <m/>
    <m/>
    <m/>
    <m/>
    <m/>
    <m/>
    <m/>
    <m/>
    <m/>
    <m/>
    <m/>
    <m/>
    <m/>
    <m/>
    <m/>
    <m/>
    <m/>
    <m/>
    <m/>
    <m/>
    <m/>
    <m/>
    <n v="94.88"/>
    <n v="4"/>
    <n v="15.12"/>
    <m/>
    <m/>
    <m/>
    <m/>
    <m/>
    <m/>
    <m/>
    <m/>
    <m/>
    <m/>
    <m/>
    <m/>
  </r>
  <r>
    <x v="0"/>
    <s v="APC"/>
    <x v="5"/>
    <n v="916"/>
    <n v="54"/>
    <n v="30"/>
    <n v="236.66666666666666"/>
    <n v="1420"/>
    <n v="0"/>
    <n v="31"/>
    <n v="0"/>
    <n v="31"/>
    <n v="186"/>
    <n v="267.66666666666663"/>
    <n v="1606"/>
    <n v="0.88418430884184307"/>
    <n v="0.6450704225352113"/>
    <n v="0.22816901408450704"/>
    <n v="0.12676056338028169"/>
    <n v="193"/>
    <n v="110"/>
    <n v="1884"/>
    <n v="3702"/>
    <n v="-218"/>
    <n v="617"/>
    <n v="-36.333333333333258"/>
    <n v="-5.5612244897959073E-2"/>
    <m/>
    <n v="635"/>
    <n v="418"/>
    <n v="26"/>
    <n v="0"/>
    <n v="1079"/>
    <n v="62"/>
    <n v="9"/>
    <n v="0"/>
    <n v="0"/>
    <n v="71"/>
    <n v="65"/>
    <n v="3"/>
    <n v="0"/>
    <n v="0"/>
    <n v="68"/>
    <n v="1913"/>
    <n v="318.83333333333337"/>
    <n v="224"/>
    <n v="0"/>
    <n v="1064"/>
    <n v="3592"/>
    <n v="4880"/>
    <n v="12637"/>
    <n v="1015.3333333333334"/>
    <n v="6092"/>
    <n v="12.446158896913985"/>
    <n v="2.0743598161523309"/>
    <s v="Costs &amp; Adds include oil; Sales excluded"/>
    <n v="1717"/>
    <m/>
    <n v="318"/>
    <n v="318"/>
    <n v="-300"/>
    <n v="0"/>
    <n v="-247.09585990238566"/>
    <n v="0"/>
    <n v="581"/>
    <n v="581"/>
    <n v="963"/>
    <n v="0"/>
    <n v="793.177710286658"/>
    <n v="12396"/>
    <n v="13307"/>
    <n v="0.82365286634128554"/>
    <n v="3162.0818503842725"/>
    <n v="13.360909226975799"/>
    <n v="2.2268182044959666"/>
    <m/>
    <n v="8042.0818503842729"/>
    <n v="804.20818503842736"/>
    <n v="0.16479675922918594"/>
    <n v="3.398062753683496"/>
    <n v="0.56634379228058263"/>
    <n v="20.619718309859156"/>
    <n v="3.436619718309859"/>
    <n v="25.807068123889785"/>
    <n v="29.205130877573282"/>
    <n v="46.426786433748944"/>
    <n v="4.3011780206482975"/>
    <n v="4.8675218129288798"/>
    <n v="7.7377977389581565"/>
    <n v="4"/>
    <n v="2.5807068123889785"/>
    <n v="610.76727893205816"/>
    <n v="0.12515722928935619"/>
    <n v="528"/>
    <m/>
    <n v="13269"/>
    <n v="573"/>
    <n v="220"/>
    <n v="2.6045454545454545"/>
    <n v="496"/>
    <n v="230"/>
    <n v="2.1565217391304348"/>
    <n v="613"/>
    <n v="231"/>
    <n v="2.6536796536796539"/>
    <n v="764.84000000000015"/>
    <n v="232"/>
    <n v="3.2967241379310352"/>
    <n v="2446.84"/>
    <n v="913"/>
    <n v="2.68"/>
    <n v="1269"/>
    <n v="12"/>
    <n v="105.75"/>
    <n v="1473"/>
    <n v="15"/>
    <n v="98.2"/>
    <n v="1224.47"/>
    <n v="13"/>
    <n v="94.19"/>
    <n v="1393.829999999999"/>
    <n v="15"/>
    <n v="92.92199999999994"/>
    <n v="5360.2999999999993"/>
    <n v="55"/>
    <n v="97.46"/>
    <n v="329.63"/>
    <n v="7"/>
    <n v="47.09"/>
    <n v="282.87"/>
    <n v="7"/>
    <n v="40.409999999999997"/>
    <n v="287.44"/>
    <n v="8"/>
    <n v="35.93"/>
    <n v="313.25999999999976"/>
    <n v="8"/>
    <n v="39.15749999999997"/>
    <n v="1213.1999999999998"/>
    <n v="30"/>
    <n v="40.44"/>
    <n v="94.05"/>
    <n v="2.75"/>
    <n v="10.98"/>
    <n v="2.41"/>
    <n v="2.2799999999999998"/>
    <n v="2.88"/>
    <n v="3.4"/>
    <n v="13.14"/>
    <n v="10.75"/>
    <n v="9.9600000000000009"/>
    <n v="10.08"/>
    <n v="102.98"/>
    <n v="93.29"/>
    <n v="92.17"/>
    <n v="88.01"/>
  </r>
  <r>
    <x v="0"/>
    <s v="APC"/>
    <x v="6"/>
    <n v="965"/>
    <n v="58"/>
    <n v="33"/>
    <n v="251.83333333333334"/>
    <n v="1511"/>
    <n v="0"/>
    <n v="32"/>
    <n v="0"/>
    <n v="32"/>
    <n v="192"/>
    <n v="283.83333333333337"/>
    <n v="1703"/>
    <n v="0.88725778038755143"/>
    <n v="0.63864990072799466"/>
    <n v="0.2303110522832561"/>
    <n v="0.13103904698874916"/>
    <n v="245"/>
    <n v="127"/>
    <n v="2085"/>
    <n v="4317"/>
    <n v="615"/>
    <n v="719.5"/>
    <n v="102.5"/>
    <n v="0.16612641815235007"/>
    <m/>
    <n v="1276"/>
    <n v="416"/>
    <n v="153"/>
    <n v="0"/>
    <n v="1845"/>
    <n v="96"/>
    <n v="52"/>
    <n v="1"/>
    <n v="0"/>
    <n v="149"/>
    <n v="17"/>
    <n v="10"/>
    <n v="9"/>
    <n v="0"/>
    <n v="36"/>
    <n v="2955"/>
    <n v="492.5"/>
    <n v="282"/>
    <n v="324"/>
    <n v="1031"/>
    <n v="4421"/>
    <n v="6058"/>
    <n v="15184"/>
    <n v="1189.3333333333335"/>
    <n v="7136"/>
    <n v="12.766816143497756"/>
    <n v="2.1278026905829597"/>
    <s v="Costs &amp; Adds include oil; Sales excluded"/>
    <n v="1926"/>
    <m/>
    <n v="332"/>
    <n v="332"/>
    <n v="169"/>
    <n v="0"/>
    <n v="139.46735045649029"/>
    <n v="0"/>
    <n v="569"/>
    <n v="569"/>
    <n v="949"/>
    <n v="0"/>
    <n v="783.16281410183012"/>
    <n v="13828"/>
    <n v="14867"/>
    <n v="0.82525059441710236"/>
    <n v="3749.6301645583203"/>
    <n v="14.88933222193906"/>
    <n v="2.4815553703231767"/>
    <m/>
    <n v="9807.6301645583208"/>
    <n v="980.76301645583214"/>
    <n v="0.16189551278571016"/>
    <n v="3.8944924544903987"/>
    <n v="0.64908207574839982"/>
    <n v="24.055592322964923"/>
    <n v="4.0092653871608208"/>
    <n v="27.656148365436817"/>
    <n v="31.550640819927217"/>
    <n v="51.71174068840174"/>
    <n v="4.6093580609061364"/>
    <n v="5.2584401366545359"/>
    <n v="8.6186234480669572"/>
    <n v="4"/>
    <n v="2.7656148365436817"/>
    <n v="696.47400300291724"/>
    <n v="0.11496764658351226"/>
    <n v="621"/>
    <m/>
    <n v="13565"/>
    <n v="807"/>
    <n v="242"/>
    <n v="3.33"/>
    <n v="935"/>
    <n v="241"/>
    <n v="3.88"/>
    <n v="805"/>
    <n v="242"/>
    <n v="3.33"/>
    <n v="841"/>
    <n v="243"/>
    <n v="3.4609053497942388"/>
    <n v="3388"/>
    <n v="968"/>
    <n v="3.5"/>
    <n v="1362.48"/>
    <n v="14"/>
    <n v="97.32"/>
    <n v="1329.86"/>
    <n v="14"/>
    <n v="94.99"/>
    <n v="1444.1000000000001"/>
    <n v="14"/>
    <n v="103.15"/>
    <n v="1490.7199999999998"/>
    <n v="16"/>
    <n v="93.169999999999987"/>
    <n v="5627.16"/>
    <n v="58"/>
    <n v="97.02"/>
    <n v="305.36"/>
    <n v="8"/>
    <n v="38.17"/>
    <n v="240.31"/>
    <n v="7"/>
    <n v="34.33"/>
    <n v="346.41"/>
    <n v="9"/>
    <n v="38.49"/>
    <n v="360.92999999999995"/>
    <n v="9"/>
    <n v="40.103333333333325"/>
    <n v="1253.01"/>
    <n v="33"/>
    <n v="37.97"/>
    <n v="97.98"/>
    <n v="3.73"/>
    <n v="9.94"/>
    <n v="3.49"/>
    <n v="4.01"/>
    <n v="3.56"/>
    <n v="3.85"/>
    <n v="9.77"/>
    <n v="9.39"/>
    <n v="10.01"/>
    <n v="10.53"/>
    <n v="94.33"/>
    <n v="94.05"/>
    <n v="105.83"/>
    <n v="97.44"/>
  </r>
  <r>
    <x v="0"/>
    <s v="APC"/>
    <x v="7"/>
    <n v="951"/>
    <n v="74"/>
    <n v="44"/>
    <n v="276.5"/>
    <n v="1659"/>
    <n v="0"/>
    <n v="35"/>
    <n v="1"/>
    <n v="36"/>
    <n v="216"/>
    <n v="312.5"/>
    <n v="1875"/>
    <n v="0.88480000000000003"/>
    <n v="0.5732368896925859"/>
    <n v="0.26763110307414106"/>
    <n v="0.15913200723327306"/>
    <n v="352"/>
    <n v="162"/>
    <n v="2033"/>
    <n v="5117"/>
    <n v="800"/>
    <n v="852.83333333333326"/>
    <n v="133.33333333333326"/>
    <n v="0.18531387537641869"/>
    <m/>
    <n v="710"/>
    <n v="196"/>
    <n v="0"/>
    <n v="0"/>
    <n v="906"/>
    <n v="167"/>
    <n v="25"/>
    <n v="0"/>
    <n v="0"/>
    <n v="192"/>
    <n v="129"/>
    <n v="5"/>
    <n v="0"/>
    <n v="0"/>
    <n v="134"/>
    <n v="2862"/>
    <n v="477"/>
    <n v="264"/>
    <n v="3"/>
    <n v="1095"/>
    <n v="6158"/>
    <n v="7520"/>
    <n v="18458"/>
    <n v="1288.3333333333335"/>
    <n v="7730"/>
    <n v="14.327037516170762"/>
    <n v="2.3878395860284605"/>
    <s v="Infill Drilling Program Increasing Revisions"/>
    <n v="2281"/>
    <m/>
    <n v="394"/>
    <n v="394"/>
    <n v="956"/>
    <n v="0"/>
    <n v="783.57153143206108"/>
    <n v="0"/>
    <n v="652"/>
    <n v="652"/>
    <n v="973"/>
    <n v="0"/>
    <n v="797.50533481526725"/>
    <n v="15169"/>
    <n v="16375"/>
    <n v="0.81963549312977102"/>
    <n v="4908.0768662473283"/>
    <n v="17.750730076843865"/>
    <n v="2.9584550128073106"/>
    <m/>
    <n v="12428.076866247327"/>
    <n v="1242.8076866247329"/>
    <n v="0.16526697960435277"/>
    <n v="4.4947836767621441"/>
    <n v="0.74913061279369075"/>
    <n v="27.197106690777577"/>
    <n v="4.5328511151295965"/>
    <n v="32.077767593014627"/>
    <n v="36.572551269776774"/>
    <n v="59.274874283792201"/>
    <n v="5.3462945988357706"/>
    <n v="6.0954252116294612"/>
    <n v="9.879145713965368"/>
    <n v="4"/>
    <n v="3.2077767593014626"/>
    <n v="886.9502739468544"/>
    <n v="0.11794551515250723"/>
    <n v="478"/>
    <m/>
    <n v="15092"/>
    <n v="1217"/>
    <n v="243"/>
    <n v="5.01"/>
    <n v="991"/>
    <n v="238"/>
    <n v="4.16"/>
    <n v="830"/>
    <n v="230"/>
    <n v="3.62"/>
    <n v="808.15000000000009"/>
    <n v="234"/>
    <n v="3.4536324786324792"/>
    <n v="3846.15"/>
    <n v="945"/>
    <n v="4.07"/>
    <n v="1517.44"/>
    <n v="16"/>
    <n v="94.84"/>
    <n v="1776.42"/>
    <n v="18"/>
    <n v="98.69"/>
    <n v="1851.8000000000002"/>
    <n v="20"/>
    <n v="92.59"/>
    <n v="1365.599999999999"/>
    <n v="20"/>
    <n v="68.279999999999944"/>
    <n v="6511.2599999999993"/>
    <n v="74"/>
    <n v="87.99"/>
    <n v="390.15000000000003"/>
    <n v="9"/>
    <n v="43.35"/>
    <n v="411.29"/>
    <n v="11"/>
    <n v="37.39"/>
    <n v="386.21"/>
    <n v="11"/>
    <n v="35.11"/>
    <n v="373.46999999999986"/>
    <n v="13"/>
    <n v="28.728461538461527"/>
    <n v="1561.12"/>
    <n v="44"/>
    <n v="35.479999999999997"/>
    <n v="93.17"/>
    <n v="4.37"/>
    <n v="9.56"/>
    <n v="5.21"/>
    <n v="4.6100000000000003"/>
    <n v="3.96"/>
    <n v="3.8"/>
    <n v="11.19"/>
    <n v="10.15"/>
    <n v="9.83"/>
    <n v="7.41"/>
    <n v="98.68"/>
    <n v="103.35"/>
    <n v="97.87"/>
    <n v="73.209999999999994"/>
  </r>
  <r>
    <x v="0"/>
    <s v="APC"/>
    <x v="8"/>
    <n v="854"/>
    <n v="85"/>
    <n v="45"/>
    <n v="272.33333333333337"/>
    <n v="1634"/>
    <n v="5"/>
    <n v="31"/>
    <n v="2"/>
    <n v="33.833333333333329"/>
    <n v="203"/>
    <n v="306.16666666666669"/>
    <n v="1837"/>
    <n v="0.88949373979314095"/>
    <n v="0.52264381884944922"/>
    <n v="0.31211750305997549"/>
    <n v="0.16523867809057524"/>
    <n v="193"/>
    <n v="68"/>
    <n v="807"/>
    <n v="2373"/>
    <n v="-2744"/>
    <n v="395.5"/>
    <n v="-457.33333333333326"/>
    <n v="-0.5362517099863201"/>
    <m/>
    <n v="-888"/>
    <n v="60"/>
    <n v="8"/>
    <n v="0"/>
    <n v="-820"/>
    <n v="2"/>
    <n v="15"/>
    <n v="0"/>
    <n v="0"/>
    <n v="17"/>
    <n v="-99"/>
    <n v="4"/>
    <n v="0"/>
    <n v="0"/>
    <n v="-95"/>
    <n v="-1288"/>
    <n v="-214.66666666666666"/>
    <n v="293"/>
    <n v="81"/>
    <n v="503"/>
    <n v="3660"/>
    <n v="4537"/>
    <n v="18115"/>
    <n v="754.83333333333337"/>
    <n v="4529"/>
    <n v="23.998675204239344"/>
    <n v="3.9997792007065578"/>
    <m/>
    <n v="2048"/>
    <m/>
    <n v="398"/>
    <n v="398"/>
    <n v="26"/>
    <n v="0"/>
    <n v="20.137853210834383"/>
    <n v="0"/>
    <n v="218"/>
    <n v="218"/>
    <n v="989"/>
    <n v="0"/>
    <n v="766.01295482750788"/>
    <n v="8260"/>
    <n v="9486"/>
    <n v="0.77453281580132238"/>
    <n v="3450.1508080383423"/>
    <n v="12.668852416297462"/>
    <n v="2.1114754027162439"/>
    <m/>
    <n v="7987.1508080383428"/>
    <n v="798.71508080383433"/>
    <n v="0.17604476103236374"/>
    <n v="2.9328583138451685"/>
    <n v="0.48880971897419484"/>
    <n v="16.659730722154219"/>
    <n v="2.7766217870257037"/>
    <n v="36.667527620536802"/>
    <n v="39.600385934381968"/>
    <n v="53.327258342691024"/>
    <n v="6.1112546034228021"/>
    <n v="6.6000643223969968"/>
    <n v="8.8878763904485059"/>
    <n v="4"/>
    <n v="3.6667527620536804"/>
    <n v="998.57900219928581"/>
    <n v="0.22009676045829532"/>
    <n v="369"/>
    <m/>
    <n v="15751"/>
    <n v="641"/>
    <n v="246"/>
    <n v="2.6"/>
    <n v="487"/>
    <n v="215"/>
    <n v="2.2799999999999998"/>
    <n v="484.41"/>
    <n v="201"/>
    <n v="2.41"/>
    <n v="394.59"/>
    <n v="190"/>
    <n v="2.0767894736842103"/>
    <n v="2007"/>
    <n v="852"/>
    <n v="2.36"/>
    <n v="972.18"/>
    <n v="22"/>
    <n v="44.19"/>
    <n v="1136.94"/>
    <n v="21"/>
    <n v="54.14"/>
    <n v="913.07999999999993"/>
    <n v="21"/>
    <n v="43.48"/>
    <n v="802.80000000000007"/>
    <n v="21"/>
    <n v="38.228571428571435"/>
    <n v="3825"/>
    <n v="85"/>
    <n v="45"/>
    <n v="207.48"/>
    <n v="12"/>
    <n v="17.29"/>
    <n v="222"/>
    <n v="12"/>
    <n v="18.5"/>
    <n v="195.12"/>
    <n v="12"/>
    <n v="16.260000000000002"/>
    <n v="141.75000000000003"/>
    <n v="9"/>
    <n v="15.750000000000004"/>
    <n v="766.35"/>
    <n v="45"/>
    <n v="17.03"/>
    <n v="48.66"/>
    <n v="2.62"/>
    <n v="4.97"/>
    <n v="2.9"/>
    <n v="2.75"/>
    <n v="2.76"/>
    <n v="2.12"/>
    <n v="5.43"/>
    <n v="5.2"/>
    <n v="4.68"/>
    <n v="4.5999999999999996"/>
    <n v="48.49"/>
    <n v="57.85"/>
    <n v="46.64"/>
    <n v="41.94"/>
  </r>
  <r>
    <x v="0"/>
    <s v="APC"/>
    <x v="9"/>
    <n v="766"/>
    <n v="86"/>
    <n v="44"/>
    <n v="257.66666666666669"/>
    <n v="1546"/>
    <n v="5"/>
    <n v="30"/>
    <n v="2"/>
    <n v="32.833333333333329"/>
    <n v="197"/>
    <n v="290.5"/>
    <n v="1743"/>
    <n v="0.88697647733792317"/>
    <n v="0.49547218628719275"/>
    <n v="0.33376455368693397"/>
    <n v="0.17076326002587322"/>
    <n v="181"/>
    <n v="75"/>
    <n v="762"/>
    <n v="2298"/>
    <n v="-75"/>
    <n v="383"/>
    <n v="-12.5"/>
    <n v="-3.1605562579013903E-2"/>
    <m/>
    <n v="310"/>
    <n v="59"/>
    <n v="68"/>
    <n v="0"/>
    <n v="437"/>
    <n v="11"/>
    <n v="24"/>
    <n v="81"/>
    <n v="0"/>
    <n v="116"/>
    <n v="45"/>
    <n v="6"/>
    <n v="5"/>
    <n v="0"/>
    <n v="56"/>
    <n v="1469"/>
    <n v="244.83333333333331"/>
    <n v="178"/>
    <n v="2498"/>
    <n v="398"/>
    <n v="1780"/>
    <n v="4854"/>
    <n v="16911"/>
    <n v="507.16666666666669"/>
    <n v="3043"/>
    <n v="33.344068353598423"/>
    <n v="5.5573447255997372"/>
    <m/>
    <n v="1633"/>
    <m/>
    <n v="317"/>
    <n v="317"/>
    <n v="-882"/>
    <n v="0"/>
    <n v="-662.47030884280582"/>
    <n v="0"/>
    <n v="189"/>
    <n v="189"/>
    <n v="1022"/>
    <n v="0"/>
    <n v="767.62432611944166"/>
    <n v="7153"/>
    <n v="8447"/>
    <n v="0.7511001234045418"/>
    <n v="2244.1540172766358"/>
    <n v="8.7095239997799574"/>
    <n v="1.4515873332966596"/>
    <m/>
    <n v="7098.1540172766363"/>
    <n v="709.8154017276637"/>
    <n v="0.14623308647047048"/>
    <n v="2.7547816367179703"/>
    <n v="0.4591302727863284"/>
    <n v="18.838292367399738"/>
    <n v="3.1397153945666236"/>
    <n v="42.053592353378377"/>
    <n v="44.808373990096349"/>
    <n v="60.891884720778116"/>
    <n v="7.0089320588963968"/>
    <n v="7.4680623316827255"/>
    <n v="10.14864745346302"/>
    <n v="4"/>
    <n v="4.2053592353378377"/>
    <n v="1083.580896305383"/>
    <n v="0.22323463047082467"/>
    <n v="327"/>
    <m/>
    <n v="15323"/>
    <n v="641"/>
    <n v="210"/>
    <n v="1.75"/>
    <n v="487"/>
    <n v="199"/>
    <n v="1.61"/>
    <n v="434.23999999999995"/>
    <n v="184"/>
    <n v="2.36"/>
    <n v="394.59"/>
    <n v="190"/>
    <n v="2.0767894736842103"/>
    <n v="1562.64"/>
    <n v="766"/>
    <n v="2.04"/>
    <n v="588.84"/>
    <n v="21"/>
    <n v="28.04"/>
    <n v="805"/>
    <n v="20"/>
    <n v="40.25"/>
    <n v="922.24"/>
    <n v="22"/>
    <n v="41.92"/>
    <n v="1004.0200000000006"/>
    <n v="22"/>
    <n v="45.637272727272752"/>
    <n v="3320.1000000000004"/>
    <n v="85"/>
    <n v="39.06"/>
    <n v="164.78"/>
    <n v="11"/>
    <n v="14.98"/>
    <n v="254.8"/>
    <n v="13"/>
    <n v="19.600000000000001"/>
    <n v="210.42999999999998"/>
    <n v="11"/>
    <n v="19.13"/>
    <n v="220.07000000000008"/>
    <n v="9"/>
    <n v="24.452222222222233"/>
    <n v="850.08"/>
    <n v="44"/>
    <n v="19.32"/>
    <n v="43.2"/>
    <n v="2.52"/>
    <n v="5.04"/>
    <n v="1.99"/>
    <n v="2.15"/>
    <n v="2.88"/>
    <n v="3.04"/>
    <n v="4.0199999999999996"/>
    <n v="5"/>
    <n v="5.04"/>
    <n v="6.05"/>
    <n v="33.35"/>
    <n v="45.46"/>
    <n v="44.85"/>
    <n v="49.14"/>
  </r>
  <r>
    <x v="1"/>
    <s v="APA"/>
    <x v="0"/>
    <n v="280.90199999999999"/>
    <n v="35.938000000000002"/>
    <n v="0"/>
    <n v="82.754999999999995"/>
    <n v="496.53"/>
    <n v="374.76400000000007"/>
    <n v="59.635999999999996"/>
    <n v="0"/>
    <n v="122.09666666666666"/>
    <n v="732.58"/>
    <n v="204.85166666666666"/>
    <n v="1229.1100000000001"/>
    <n v="0.40397523411248781"/>
    <n v="0.56573016736148873"/>
    <n v="0.43426983263851132"/>
    <n v="0"/>
    <n v="156.655"/>
    <n v="0"/>
    <n v="727.85299999999995"/>
    <n v="1667.7829999999999"/>
    <m/>
    <n v="277.96383333333335"/>
    <m/>
    <m/>
    <m/>
    <n v="8.8810000000000002"/>
    <n v="217.56"/>
    <n v="79.531999999999996"/>
    <n v="0"/>
    <n v="305.97300000000001"/>
    <n v="5.5460000000000003"/>
    <n v="31.504000000000001"/>
    <n v="56.954000000000001"/>
    <n v="0"/>
    <n v="94.004000000000005"/>
    <n v="0"/>
    <n v="0"/>
    <n v="0"/>
    <n v="0"/>
    <n v="0"/>
    <n v="869.99700000000007"/>
    <n v="144.99950000000001"/>
    <n v="0"/>
    <n v="965.476"/>
    <n v="139.09200000000001"/>
    <n v="1470.98"/>
    <n v="2575.5479999999998"/>
    <m/>
    <m/>
    <m/>
    <m/>
    <m/>
    <s v="Extensions, discoveries, purchases &amp;  and revisions. Excludes sales. Capital is US costs incurred less cap. Interest and asset retirement costs"/>
    <m/>
    <m/>
    <m/>
    <m/>
    <m/>
    <m/>
    <m/>
    <m/>
    <m/>
    <m/>
    <m/>
    <m/>
    <m/>
    <n v="0"/>
    <n v="0"/>
    <m/>
    <m/>
    <m/>
    <m/>
    <m/>
    <m/>
    <m/>
    <m/>
    <m/>
    <m/>
    <m/>
    <m/>
    <m/>
    <m/>
    <m/>
    <m/>
    <m/>
    <m/>
    <n v="4"/>
    <m/>
    <m/>
    <m/>
    <m/>
    <m/>
    <m/>
    <m/>
    <m/>
    <m/>
    <m/>
    <m/>
    <m/>
    <m/>
    <m/>
    <m/>
    <m/>
    <m/>
    <m/>
    <m/>
    <m/>
    <m/>
    <m/>
    <m/>
    <m/>
    <m/>
    <m/>
    <m/>
    <m/>
    <m/>
    <m/>
    <m/>
    <m/>
    <m/>
    <m/>
    <m/>
    <m/>
    <m/>
    <m/>
    <m/>
    <m/>
    <m/>
    <m/>
    <m/>
    <m/>
    <m/>
    <m/>
    <m/>
    <m/>
    <m/>
    <m/>
    <m/>
    <n v="72.34"/>
    <n v="6.97"/>
    <n v="12.91"/>
    <m/>
    <m/>
    <m/>
    <m/>
    <m/>
    <m/>
    <m/>
    <m/>
    <m/>
    <m/>
    <m/>
    <m/>
  </r>
  <r>
    <x v="1"/>
    <s v="APA"/>
    <x v="1"/>
    <n v="248.83500000000001"/>
    <n v="35.057000000000002"/>
    <n v="0"/>
    <n v="76.529500000000013"/>
    <n v="459.17700000000002"/>
    <n v="343.20999999999992"/>
    <n v="61.861999999999995"/>
    <n v="0"/>
    <n v="119.06366666666665"/>
    <n v="714.38199999999983"/>
    <n v="195.59316666666666"/>
    <n v="1173.5589999999997"/>
    <n v="0.3912687815440043"/>
    <n v="0.54191520916770652"/>
    <n v="0.45808479083229336"/>
    <n v="0"/>
    <n v="151.24799999999999"/>
    <n v="0"/>
    <n v="670.19399999999996"/>
    <n v="1577.6819999999998"/>
    <n v="-90.101000000000113"/>
    <n v="262.947"/>
    <n v="-15.016833333333352"/>
    <n v="-5.402441444720333E-2"/>
    <m/>
    <n v="-175.834"/>
    <n v="247.1"/>
    <n v="27.550999999999998"/>
    <n v="0"/>
    <n v="98.816999999999993"/>
    <n v="-31.54"/>
    <n v="38.01"/>
    <n v="1.919"/>
    <n v="0"/>
    <n v="8.3889999999999993"/>
    <n v="0"/>
    <n v="0"/>
    <n v="0"/>
    <n v="0"/>
    <n v="0"/>
    <n v="149.15099999999998"/>
    <n v="24.858499999999999"/>
    <n v="75.436999999999998"/>
    <n v="69.641999999999996"/>
    <n v="382.01900000000001"/>
    <n v="1801.454"/>
    <n v="2328.5519999999997"/>
    <m/>
    <m/>
    <m/>
    <m/>
    <m/>
    <s v="Extensions, discoveries, purchases &amp;  and revisions. Excludes sales. Capital is US costs incurred less cap. Interest and asset retirement costs"/>
    <m/>
    <m/>
    <m/>
    <m/>
    <m/>
    <m/>
    <m/>
    <m/>
    <m/>
    <m/>
    <m/>
    <m/>
    <m/>
    <n v="0"/>
    <n v="0"/>
    <m/>
    <m/>
    <m/>
    <m/>
    <m/>
    <m/>
    <m/>
    <m/>
    <m/>
    <m/>
    <m/>
    <m/>
    <m/>
    <m/>
    <m/>
    <m/>
    <m/>
    <m/>
    <n v="4"/>
    <m/>
    <m/>
    <m/>
    <m/>
    <m/>
    <m/>
    <m/>
    <m/>
    <m/>
    <m/>
    <m/>
    <m/>
    <m/>
    <m/>
    <m/>
    <m/>
    <m/>
    <m/>
    <m/>
    <m/>
    <m/>
    <m/>
    <m/>
    <m/>
    <m/>
    <m/>
    <m/>
    <m/>
    <m/>
    <m/>
    <m/>
    <m/>
    <m/>
    <m/>
    <m/>
    <m/>
    <m/>
    <m/>
    <m/>
    <m/>
    <m/>
    <m/>
    <m/>
    <m/>
    <m/>
    <m/>
    <m/>
    <m/>
    <m/>
    <m/>
    <m/>
    <n v="99.67"/>
    <n v="8.86"/>
    <n v="15.2"/>
    <m/>
    <m/>
    <m/>
    <m/>
    <m/>
    <m/>
    <m/>
    <m/>
    <m/>
    <m/>
    <m/>
    <m/>
  </r>
  <r>
    <x v="1"/>
    <s v="APA"/>
    <x v="2"/>
    <n v="243.12"/>
    <n v="34.773000000000003"/>
    <n v="0"/>
    <n v="75.293000000000006"/>
    <n v="451.75800000000004"/>
    <n v="398.84699999999998"/>
    <n v="71.146999999999991"/>
    <n v="0"/>
    <n v="137.62149999999997"/>
    <n v="825.72899999999993"/>
    <n v="212.91449999999998"/>
    <n v="1277.4870000000001"/>
    <n v="0.35363021306674747"/>
    <n v="0.53816423837541338"/>
    <n v="0.46183576162458662"/>
    <n v="0"/>
    <n v="150.62700000000001"/>
    <n v="0"/>
    <n v="652.76599999999996"/>
    <n v="1556.528"/>
    <n v="-21.153999999999769"/>
    <n v="259.42133333333334"/>
    <n v="-3.5256666666666661"/>
    <n v="-1.3408278727905875E-2"/>
    <m/>
    <n v="-54.591000000000001"/>
    <n v="150.66800000000001"/>
    <n v="47.781999999999996"/>
    <n v="0"/>
    <n v="143.85899999999998"/>
    <n v="12.981"/>
    <n v="17.641999999999999"/>
    <n v="13.023"/>
    <n v="0"/>
    <n v="43.646000000000001"/>
    <n v="0"/>
    <n v="0"/>
    <n v="0"/>
    <n v="0"/>
    <n v="0"/>
    <n v="405.73499999999996"/>
    <n v="67.622500000000002"/>
    <n v="0"/>
    <n v="196"/>
    <n v="233"/>
    <n v="695"/>
    <n v="1124"/>
    <n v="6028.0999999999995"/>
    <n v="237.48050000000001"/>
    <n v="1424.883"/>
    <n v="25.383557807904225"/>
    <n v="4.2305929679840375"/>
    <s v="Extensions, discoveries, purchases &amp;  and revisions. Excludes sales. Capital is US costs incurred less cap. Interest and asset retirement costs"/>
    <n v="797.23800000000006"/>
    <n v="343.88299999999998"/>
    <n v="0"/>
    <n v="121.60741856003231"/>
    <n v="686"/>
    <n v="0"/>
    <n v="242.59032616378877"/>
    <n v="0"/>
    <n v="106.792"/>
    <n v="106.792"/>
    <n v="309"/>
    <n v="0"/>
    <n v="109.27173583762497"/>
    <n v="8574"/>
    <n v="8574"/>
    <n v="0.35363021306674747"/>
    <n v="1377.499480561446"/>
    <n v="18.295186545381988"/>
    <n v="3.0491977575636646"/>
    <s v="Company had federal and state operating losses in 09 and carryforwards"/>
    <n v="2501.499480561446"/>
    <n v="250.14994805614461"/>
    <n v="0.22255333456952367"/>
    <n v="3.322353313802672"/>
    <n v="0.55372555230044529"/>
    <n v="14.928346592644733"/>
    <n v="2.4880577654407889"/>
    <n v="43.678744353286213"/>
    <n v="47.001097667088885"/>
    <n v="58.607090945930949"/>
    <n v="7.2797907255477021"/>
    <n v="7.8335162778481475"/>
    <n v="9.7678484909884915"/>
    <n v="4"/>
    <n v="4.3678744353286216"/>
    <n v="328.87036985919792"/>
    <n v="0.29258929702775616"/>
    <m/>
    <n v="1479"/>
    <m/>
    <m/>
    <m/>
    <m/>
    <m/>
    <m/>
    <m/>
    <m/>
    <m/>
    <m/>
    <m/>
    <m/>
    <m/>
    <m/>
    <m/>
    <m/>
    <m/>
    <m/>
    <m/>
    <m/>
    <m/>
    <m/>
    <m/>
    <m/>
    <m/>
    <m/>
    <m/>
    <m/>
    <m/>
    <m/>
    <m/>
    <m/>
    <m/>
    <m/>
    <m/>
    <m/>
    <m/>
    <m/>
    <m/>
    <m/>
    <m/>
    <m/>
    <m/>
    <m/>
    <m/>
    <m/>
    <n v="61.95"/>
    <n v="3.94"/>
    <n v="8.99"/>
    <m/>
    <m/>
    <m/>
    <m/>
    <m/>
    <m/>
    <m/>
    <m/>
    <m/>
    <m/>
    <m/>
    <m/>
  </r>
  <r>
    <x v="1"/>
    <s v="APA"/>
    <x v="3"/>
    <n v="266.75900000000001"/>
    <n v="40.277999999999999"/>
    <n v="0"/>
    <n v="84.737833333333327"/>
    <n v="508.42700000000002"/>
    <n v="422.60199999999998"/>
    <n v="84.865000000000009"/>
    <n v="0"/>
    <n v="155.29866666666669"/>
    <n v="931.79200000000003"/>
    <n v="240.03650000000002"/>
    <n v="1440.2190000000001"/>
    <n v="0.35302061700338627"/>
    <n v="0.52467512543590333"/>
    <n v="0.47532487456409672"/>
    <n v="0"/>
    <n v="214.11699999999999"/>
    <n v="30.361000000000001"/>
    <n v="988.86900000000003"/>
    <n v="2455.7370000000001"/>
    <n v="899.20900000000006"/>
    <n v="409.28949999999998"/>
    <n v="149.86816666666664"/>
    <n v="0.5777017824285845"/>
    <m/>
    <n v="47.988999999999997"/>
    <n v="951.654"/>
    <n v="102.18"/>
    <n v="0"/>
    <n v="1101.8230000000001"/>
    <n v="7.5970000000000004"/>
    <n v="195.131"/>
    <n v="72.927999999999997"/>
    <n v="0"/>
    <n v="275.65600000000001"/>
    <n v="0"/>
    <n v="0"/>
    <n v="0"/>
    <n v="0"/>
    <n v="0"/>
    <n v="2755.759"/>
    <n v="459.29316666666671"/>
    <n v="2497"/>
    <n v="5604"/>
    <n v="261"/>
    <n v="573"/>
    <n v="8935"/>
    <n v="12387.552"/>
    <n v="551.7741666666667"/>
    <n v="3310.645"/>
    <n v="22.450402263003127"/>
    <n v="3.7417337105005215"/>
    <s v="Extensions, discoveries, purchases &amp;  and revisions. Excludes sales. Capital is US costs incurred less cap. Interest and asset retirement costs"/>
    <n v="966"/>
    <n v="380"/>
    <n v="0"/>
    <n v="134.14783446128675"/>
    <n v="1170"/>
    <n v="0"/>
    <n v="413.03412189396187"/>
    <n v="0"/>
    <n v="177"/>
    <n v="177"/>
    <n v="345"/>
    <n v="0"/>
    <n v="121.79211286616824"/>
    <n v="12183"/>
    <n v="12183"/>
    <n v="0.35302061700338622"/>
    <n v="1811.9740692214168"/>
    <n v="21.383294780427676"/>
    <n v="3.563882463404612"/>
    <m/>
    <n v="10746.974069221416"/>
    <n v="1074.6974069221417"/>
    <n v="0.12027950832928279"/>
    <n v="12.682616071791724"/>
    <n v="2.1137693452986204"/>
    <n v="105.44286593748956"/>
    <n v="17.573810989581592"/>
    <n v="43.833697043430803"/>
    <n v="56.51631311522253"/>
    <n v="149.27656298092035"/>
    <n v="7.3056161739051335"/>
    <n v="9.4193855192037539"/>
    <n v="24.879427163486724"/>
    <n v="4"/>
    <n v="4.3833697043430799"/>
    <n v="371.4372514450065"/>
    <n v="4.1571041012311863E-2"/>
    <m/>
    <n v="5048"/>
    <m/>
    <m/>
    <m/>
    <m/>
    <m/>
    <m/>
    <m/>
    <m/>
    <m/>
    <m/>
    <m/>
    <m/>
    <m/>
    <m/>
    <m/>
    <m/>
    <m/>
    <m/>
    <m/>
    <m/>
    <m/>
    <m/>
    <m/>
    <m/>
    <m/>
    <m/>
    <m/>
    <m/>
    <m/>
    <m/>
    <m/>
    <m/>
    <m/>
    <m/>
    <m/>
    <m/>
    <m/>
    <m/>
    <m/>
    <m/>
    <m/>
    <m/>
    <m/>
    <m/>
    <m/>
    <m/>
    <n v="79.48"/>
    <n v="4.37"/>
    <n v="11.83"/>
    <m/>
    <m/>
    <m/>
    <m/>
    <m/>
    <m/>
    <m/>
    <m/>
    <m/>
    <m/>
    <m/>
    <m/>
  </r>
  <r>
    <x v="1"/>
    <s v="APA"/>
    <x v="4"/>
    <n v="315.63099999999997"/>
    <n v="43.587000000000003"/>
    <n v="8.0709999999999997"/>
    <n v="104.26316666666666"/>
    <n v="625.57900000000006"/>
    <n v="510.13900000000001"/>
    <n v="80.492999999999995"/>
    <n v="3.2949999999999999"/>
    <n v="168.81116666666665"/>
    <n v="1012.867"/>
    <n v="273.0743333333333"/>
    <n v="1638.4459999999999"/>
    <n v="0.38181240028661312"/>
    <n v="0.50454219211322626"/>
    <n v="0.41804792040653543"/>
    <n v="7.7409887480238304E-2"/>
    <n v="205.76300000000001"/>
    <n v="52.542999999999999"/>
    <n v="760.23800000000006"/>
    <n v="2310.0740000000001"/>
    <n v="-145.66300000000001"/>
    <n v="385.01233333333334"/>
    <n v="-24.277166666666631"/>
    <n v="-5.9315390858222926E-2"/>
    <m/>
    <n v="-7.7160000000000002"/>
    <n v="169.506"/>
    <n v="67.594999999999999"/>
    <n v="0"/>
    <n v="229.38499999999999"/>
    <n v="-8.9039999999999999"/>
    <n v="45.676000000000002"/>
    <n v="5.0970000000000004"/>
    <n v="0"/>
    <n v="41.869000000000007"/>
    <n v="1.7130000000000001"/>
    <n v="43.914999999999999"/>
    <n v="0.58599999999999997"/>
    <n v="0"/>
    <n v="46.213999999999999"/>
    <n v="757.88300000000004"/>
    <n v="126.31383333333333"/>
    <n v="116"/>
    <n v="368"/>
    <n v="418"/>
    <n v="2300"/>
    <n v="3202"/>
    <n v="13261"/>
    <n v="653.22950000000014"/>
    <n v="3919.3770000000004"/>
    <n v="20.300675336922165"/>
    <n v="3.3834458894870276"/>
    <s v="Extensions, discoveries, purchases &amp;  and revisions. Excludes sales. Capital is US costs incurred less cap. Interest and asset retirement costs"/>
    <n v="1231"/>
    <n v="459"/>
    <n v="0"/>
    <n v="175.25189173155542"/>
    <n v="1686"/>
    <n v="0"/>
    <n v="643.73570688322968"/>
    <n v="0"/>
    <n v="259"/>
    <n v="259"/>
    <n v="433"/>
    <n v="0"/>
    <n v="165.32476932410347"/>
    <n v="16810"/>
    <n v="16810"/>
    <n v="0.38181240028661312"/>
    <n v="2474.3123679388882"/>
    <n v="23.731413950329742"/>
    <n v="3.9552356583882897"/>
    <m/>
    <n v="5676.3123679388882"/>
    <n v="567.63123679388889"/>
    <n v="0.17727396526979666"/>
    <n v="5.4442163511935879"/>
    <n v="0.90736939186559784"/>
    <n v="30.710749561606129"/>
    <n v="5.1184582602676878"/>
    <n v="44.032089287251907"/>
    <n v="49.476305638445496"/>
    <n v="74.742838848858042"/>
    <n v="7.3386815478753178"/>
    <n v="8.2460509397409147"/>
    <n v="12.457139808143005"/>
    <n v="4"/>
    <n v="4.4032089287251903"/>
    <n v="459.0925064038293"/>
    <n v="0.14337679775260129"/>
    <m/>
    <n v="5530"/>
    <m/>
    <m/>
    <m/>
    <m/>
    <m/>
    <m/>
    <m/>
    <m/>
    <m/>
    <m/>
    <m/>
    <m/>
    <m/>
    <m/>
    <m/>
    <m/>
    <m/>
    <m/>
    <m/>
    <m/>
    <m/>
    <m/>
    <m/>
    <m/>
    <m/>
    <m/>
    <m/>
    <m/>
    <m/>
    <m/>
    <m/>
    <m/>
    <m/>
    <m/>
    <m/>
    <m/>
    <m/>
    <m/>
    <m/>
    <m/>
    <m/>
    <m/>
    <m/>
    <m/>
    <m/>
    <m/>
    <n v="94.88"/>
    <n v="4"/>
    <n v="15.12"/>
    <m/>
    <m/>
    <m/>
    <m/>
    <m/>
    <m/>
    <m/>
    <m/>
    <m/>
    <m/>
    <m/>
    <m/>
  </r>
  <r>
    <x v="1"/>
    <s v="APA"/>
    <x v="5"/>
    <n v="312.60000000000002"/>
    <n v="49.088999999999999"/>
    <n v="12.272"/>
    <n v="113.461"/>
    <n v="680.76600000000008"/>
    <n v="526.803"/>
    <n v="79.751000000000005"/>
    <n v="3.984"/>
    <n v="171.53550000000001"/>
    <n v="1029.213"/>
    <n v="284.99650000000003"/>
    <n v="1709.979"/>
    <n v="0.39811366104496021"/>
    <n v="0.45918861987819604"/>
    <n v="0.43265086681767301"/>
    <n v="0.10816051330413094"/>
    <n v="203.06800000000001"/>
    <n v="60.889000000000003"/>
    <n v="832.32"/>
    <n v="2416.0620000000004"/>
    <n v="105.98800000000028"/>
    <n v="402.67700000000002"/>
    <n v="17.664666666666676"/>
    <n v="4.5880781308304433E-2"/>
    <m/>
    <n v="-156.84"/>
    <n v="365.863"/>
    <n v="313.88499999999999"/>
    <n v="0"/>
    <n v="522.90800000000002"/>
    <n v="-7.4740000000000002"/>
    <n v="84.656000000000006"/>
    <n v="15.942"/>
    <n v="0"/>
    <n v="93.123999999999995"/>
    <n v="-4.5590000000000002"/>
    <n v="71.965000000000003"/>
    <n v="0.23"/>
    <n v="0"/>
    <n v="67.63600000000001"/>
    <n v="1487.4680000000001"/>
    <n v="247.91133333333335"/>
    <n v="3334"/>
    <n v="1076"/>
    <n v="364"/>
    <n v="3777"/>
    <n v="8551"/>
    <n v="20688"/>
    <n v="833.51833333333343"/>
    <n v="5001.1099999999997"/>
    <n v="24.820089940033309"/>
    <n v="4.1366816566722191"/>
    <s v="Extensions, discoveries, purchases &amp;  and revisions. Excludes sales. Capital is US costs incurred less cap. Interest and asset retirement costs"/>
    <n v="1455"/>
    <n v="515"/>
    <n v="0"/>
    <n v="205.02853543815451"/>
    <n v="2590"/>
    <n v="0"/>
    <n v="1031.114382106447"/>
    <n v="0"/>
    <n v="292"/>
    <n v="292"/>
    <n v="501"/>
    <n v="0"/>
    <n v="199.45494418352507"/>
    <n v="16564"/>
    <n v="16564"/>
    <n v="0.39811366104496021"/>
    <n v="3182.5978617281266"/>
    <n v="28.05014817186634"/>
    <n v="4.6750246953110555"/>
    <m/>
    <n v="11733.597861728127"/>
    <n v="1173.3597861728128"/>
    <n v="0.13721901370281989"/>
    <n v="10.341525159947585"/>
    <n v="1.7235875266579306"/>
    <n v="75.365103427609483"/>
    <n v="12.560850571268247"/>
    <n v="52.870238111899653"/>
    <n v="63.211763271847239"/>
    <n v="128.23534153950914"/>
    <n v="8.8117063519832755"/>
    <n v="10.535293878641205"/>
    <n v="21.372556923251523"/>
    <n v="4"/>
    <n v="5.2870238111899654"/>
    <n v="599.87100864142462"/>
    <n v="7.0152146958417094E-2"/>
    <m/>
    <n v="8754"/>
    <m/>
    <n v="292"/>
    <n v="74.300254452926211"/>
    <n v="3.93"/>
    <n v="257"/>
    <n v="77.177177177177171"/>
    <n v="3.33"/>
    <n v="288"/>
    <n v="79.338842975206617"/>
    <n v="3.63"/>
    <n v="332.12400000000025"/>
    <n v="81.783725394690052"/>
    <n v="4.0610035602702439"/>
    <n v="1169.1240000000003"/>
    <n v="312.60000000000002"/>
    <n v="3.74"/>
    <n v="1172.9941344000001"/>
    <n v="11.490930000000001"/>
    <n v="102.08"/>
    <n v="1099.468773475"/>
    <n v="11.650617500000001"/>
    <n v="94.37"/>
    <n v="1133.291545925"/>
    <n v="12.136341250000001"/>
    <n v="93.38"/>
    <n v="1257.7635462000001"/>
    <n v="13.822111249999997"/>
    <n v="90.996485518809607"/>
    <n v="4663.518"/>
    <n v="49.1"/>
    <n v="94.98"/>
    <n v="88.604906137499995"/>
    <n v="2.0364262499999999"/>
    <n v="43.51"/>
    <n v="89.301661937500015"/>
    <n v="2.7069312500000002"/>
    <n v="32.99"/>
    <n v="100.73060124999999"/>
    <n v="3.5656849999999998"/>
    <n v="28.25"/>
    <n v="117.29983067500001"/>
    <n v="3.9909575000000004"/>
    <n v="29.391400603739829"/>
    <n v="395.93700000000001"/>
    <n v="12.3"/>
    <n v="32.19"/>
    <n v="94.05"/>
    <n v="2.75"/>
    <n v="10.98"/>
    <n v="2.41"/>
    <n v="2.2799999999999998"/>
    <n v="2.88"/>
    <n v="3.4"/>
    <n v="13.14"/>
    <n v="10.75"/>
    <n v="9.9600000000000009"/>
    <n v="10.08"/>
    <n v="102.98"/>
    <n v="93.29"/>
    <n v="92.17"/>
    <n v="88.01"/>
  </r>
  <r>
    <x v="1"/>
    <s v="APA"/>
    <x v="6"/>
    <n v="285.18700000000001"/>
    <n v="53.621000000000002"/>
    <n v="19.922000000000001"/>
    <n v="121.07416666666667"/>
    <n v="726.44500000000005"/>
    <n v="480.25"/>
    <n v="72.894000000000005"/>
    <n v="3.6729999999999983"/>
    <n v="156.60866666666669"/>
    <n v="939.65200000000004"/>
    <n v="277.68283333333335"/>
    <n v="1666.0970000000002"/>
    <n v="0.43601603027914937"/>
    <n v="0.39257892889344687"/>
    <n v="0.44287729972675149"/>
    <n v="0.16454377137980164"/>
    <n v="195.83500000000001"/>
    <n v="63.537999999999997"/>
    <n v="667.16"/>
    <n v="2223.3979999999997"/>
    <n v="-192.66400000000067"/>
    <n v="370.56633333333332"/>
    <n v="-32.110666666666702"/>
    <n v="-7.9742986727989684E-2"/>
    <m/>
    <n v="61.247"/>
    <n v="306.721"/>
    <n v="0.85499999999999998"/>
    <n v="0"/>
    <n v="368.82300000000004"/>
    <n v="1.6830000000000001"/>
    <n v="133.227"/>
    <n v="8.5000000000000006E-2"/>
    <n v="0"/>
    <n v="134.995"/>
    <n v="1.591"/>
    <n v="69.230999999999995"/>
    <n v="4.4999999999999998E-2"/>
    <n v="0"/>
    <n v="70.86699999999999"/>
    <n v="1603.9950000000001"/>
    <n v="267.33249999999998"/>
    <n v="195"/>
    <n v="17"/>
    <n v="562"/>
    <n v="4716"/>
    <n v="5490"/>
    <n v="17243"/>
    <n v="641.55766666666659"/>
    <n v="3849.3460000000005"/>
    <n v="26.87677335318779"/>
    <n v="4.4794622255312975"/>
    <s v="Extensions, discoveries, purchases &amp;  and revisions. Excludes sales. Capital is US costs incurred less cap. Interest and asset retirement costs"/>
    <n v="1404"/>
    <n v="482"/>
    <n v="0"/>
    <n v="210.15972659454999"/>
    <n v="1766"/>
    <n v="0"/>
    <n v="770.00430947297775"/>
    <n v="0"/>
    <n v="324"/>
    <n v="324"/>
    <n v="560"/>
    <n v="0"/>
    <n v="244.16897695632366"/>
    <n v="14771"/>
    <n v="14771"/>
    <n v="0.43601603027914937"/>
    <n v="2952.333013023851"/>
    <n v="24.384499966471111"/>
    <n v="4.0640833277451849"/>
    <m/>
    <n v="8442.3330130238501"/>
    <n v="844.23330130238503"/>
    <n v="0.15377655761427778"/>
    <n v="6.9728607228548753"/>
    <n v="1.162143453809146"/>
    <n v="45.34410726207765"/>
    <n v="7.5573512103462752"/>
    <n v="51.261273319658898"/>
    <n v="58.234134042513773"/>
    <n v="96.60538058173654"/>
    <n v="8.5435455532764824"/>
    <n v="9.7056890070856277"/>
    <n v="16.100896763622757"/>
    <n v="4"/>
    <n v="5.1261273319658898"/>
    <n v="620.64159494499347"/>
    <n v="0.11304947084608261"/>
    <m/>
    <n v="8363"/>
    <m/>
    <n v="288"/>
    <n v="76.8"/>
    <n v="3.75"/>
    <n v="319"/>
    <n v="78.535316249999994"/>
    <n v="4.07"/>
    <n v="286"/>
    <n v="75.776098750000003"/>
    <n v="3.75"/>
    <n v="202.16799999999989"/>
    <n v="54.088584999999981"/>
    <n v="3.7377202601990782"/>
    <n v="1095.1679999999999"/>
    <n v="285.2"/>
    <n v="3.84"/>
    <n v="1286.4324944375001"/>
    <n v="13.62024875"/>
    <n v="94.45"/>
    <n v="1394.29340445"/>
    <n v="14.3534425"/>
    <n v="97.14"/>
    <n v="1580.6029167499998"/>
    <n v="14.936712500000001"/>
    <n v="105.82"/>
    <n v="998.97518436250016"/>
    <n v="10.689596250000003"/>
    <n v="93.453032368972771"/>
    <n v="5260.3040000000001"/>
    <n v="53.6"/>
    <n v="98.14"/>
    <n v="121.2804699"/>
    <n v="4.49853375"/>
    <n v="26.96"/>
    <n v="127.26275055000001"/>
    <n v="5.2028924999999999"/>
    <n v="24.46"/>
    <n v="148.24999687499999"/>
    <n v="5.2477875000000003"/>
    <n v="28.25"/>
    <n v="146.27778267499991"/>
    <n v="4.9507862499999966"/>
    <n v="29.54637410875899"/>
    <n v="543.07099999999991"/>
    <n v="19.899999999999999"/>
    <n v="27.29"/>
    <n v="97.98"/>
    <n v="3.73"/>
    <n v="9.94"/>
    <n v="3.49"/>
    <n v="4.01"/>
    <n v="3.56"/>
    <n v="3.85"/>
    <n v="9.77"/>
    <n v="9.39"/>
    <n v="10.01"/>
    <n v="10.53"/>
    <n v="94.33"/>
    <n v="94.05"/>
    <n v="105.83"/>
    <n v="97.44"/>
  </r>
  <r>
    <x v="1"/>
    <s v="APA"/>
    <x v="7"/>
    <n v="215.82900000000001"/>
    <n v="48.789000000000001"/>
    <n v="21.463999999999999"/>
    <n v="106.22450000000001"/>
    <n v="637.34699999999998"/>
    <n v="375.59099999999995"/>
    <n v="69.623000000000005"/>
    <n v="3.1310000000000002"/>
    <n v="135.35249999999999"/>
    <n v="812.11500000000001"/>
    <n v="241.577"/>
    <n v="1449.462"/>
    <n v="0.43971280378512856"/>
    <n v="0.33863656689370158"/>
    <n v="0.45930082043219783"/>
    <n v="0.20206261267410058"/>
    <n v="170.125"/>
    <n v="69.828000000000003"/>
    <n v="580.29899999999998"/>
    <n v="2020.0170000000001"/>
    <n v="-203.38099999999963"/>
    <n v="336.66949999999997"/>
    <n v="-33.896833333333348"/>
    <n v="-9.1473051608394043E-2"/>
    <m/>
    <n v="35.909999999999997"/>
    <n v="203.31800000000001"/>
    <n v="21.337"/>
    <n v="0"/>
    <n v="260.565"/>
    <n v="3.0830000000000002"/>
    <n v="57.011000000000003"/>
    <n v="15.24"/>
    <n v="0"/>
    <n v="75.334000000000003"/>
    <n v="2.5939999999999999"/>
    <n v="47.515999999999998"/>
    <n v="2.9159999999999999"/>
    <n v="0"/>
    <n v="53.025999999999996"/>
    <n v="1030.7249999999999"/>
    <n v="171.78750000000002"/>
    <n v="1221"/>
    <n v="102"/>
    <n v="505"/>
    <n v="5018"/>
    <n v="6846"/>
    <n v="20887"/>
    <n v="687.03133333333335"/>
    <n v="4122.1880000000001"/>
    <n v="30.401815734750574"/>
    <n v="5.0669692891250957"/>
    <m/>
    <n v="1014"/>
    <n v="453"/>
    <n v="0"/>
    <n v="199.1899001146632"/>
    <n v="1357"/>
    <n v="0"/>
    <n v="596.69027473641938"/>
    <n v="0"/>
    <n v="350"/>
    <n v="350"/>
    <n v="499"/>
    <n v="0"/>
    <n v="219.41668908877912"/>
    <n v="12691"/>
    <n v="12691"/>
    <n v="0.4397128037851285"/>
    <n v="2379.2968639398614"/>
    <n v="22.398757950753932"/>
    <n v="3.7331263251256561"/>
    <m/>
    <n v="9225.2968639398605"/>
    <n v="922.52968639398614"/>
    <n v="0.13475455541834447"/>
    <n v="8.6847166745335223"/>
    <n v="1.4474527790889204"/>
    <n v="64.448408794581283"/>
    <n v="10.741401465763548"/>
    <n v="52.800573685504503"/>
    <n v="61.485290360038022"/>
    <n v="117.24898248008579"/>
    <n v="8.8000956142507523"/>
    <n v="10.247548393339672"/>
    <n v="19.541497080014302"/>
    <n v="4"/>
    <n v="5.2800573685504499"/>
    <n v="560.87145394558729"/>
    <n v="8.1926884888341697E-2"/>
    <m/>
    <n v="7014"/>
    <m/>
    <n v="266"/>
    <n v="53.413654618473892"/>
    <n v="4.9800000000000004"/>
    <n v="245"/>
    <n v="54.473512499999998"/>
    <n v="4.51"/>
    <n v="210"/>
    <n v="52.850905000000004"/>
    <n v="3.94"/>
    <n v="370.56309500000009"/>
    <n v="55.061927881526124"/>
    <n v="6.7299331726510081"/>
    <n v="934.4140000000001"/>
    <n v="215.8"/>
    <n v="4.33"/>
    <n v="1107.3071466500003"/>
    <n v="11.675528750000002"/>
    <n v="94.84"/>
    <n v="1147.7599360499999"/>
    <n v="11.898817499999998"/>
    <n v="96.46"/>
    <n v="1112.6589171750002"/>
    <n v="12.192186250000001"/>
    <n v="91.26"/>
    <n v="885.24500012500016"/>
    <n v="12.933467500000003"/>
    <n v="68.446068320425283"/>
    <n v="4252.9710000000005"/>
    <n v="48.7"/>
    <n v="87.33"/>
    <n v="149.57660367"/>
    <n v="4.8548070000000001"/>
    <n v="30.81"/>
    <n v="139.81986562500001"/>
    <n v="5.16703125"/>
    <n v="27.06"/>
    <n v="148.60789579999999"/>
    <n v="5.6312199999999999"/>
    <n v="26.39"/>
    <n v="111.75063490500003"/>
    <n v="5.84694175"/>
    <n v="19.112664309508475"/>
    <n v="549.755"/>
    <n v="21.5"/>
    <n v="25.57"/>
    <n v="93.17"/>
    <n v="4.37"/>
    <n v="9.56"/>
    <n v="5.21"/>
    <n v="4.6100000000000003"/>
    <n v="3.96"/>
    <n v="3.8"/>
    <n v="11.19"/>
    <n v="10.15"/>
    <n v="9.83"/>
    <n v="7.41"/>
    <n v="98.68"/>
    <n v="103.35"/>
    <n v="97.87"/>
    <n v="73.209999999999994"/>
  </r>
  <r>
    <x v="1"/>
    <s v="APA"/>
    <x v="8"/>
    <n v="160.614"/>
    <n v="45.137999999999998"/>
    <n v="19.684000000000001"/>
    <n v="91.590999999999994"/>
    <n v="549.54600000000005"/>
    <n v="293.15800000000002"/>
    <n v="63.353000000000002"/>
    <n v="3.036999999999999"/>
    <n v="115.24966666666668"/>
    <n v="691.49800000000005"/>
    <n v="206.84066666666666"/>
    <n v="1241.0440000000001"/>
    <n v="0.44280944108347486"/>
    <n v="0.29226670742758565"/>
    <n v="0.49282134707558606"/>
    <n v="0.21491194549682832"/>
    <n v="60.505000000000003"/>
    <n v="24.939"/>
    <n v="208.59399999999999"/>
    <n v="721.25800000000004"/>
    <n v="-1298.759"/>
    <n v="120.20966666666666"/>
    <n v="-216.45983333333331"/>
    <n v="-0.64294458908019092"/>
    <m/>
    <n v="-503.96899999999999"/>
    <n v="40.901000000000003"/>
    <n v="0"/>
    <n v="0"/>
    <n v="-463.06799999999998"/>
    <n v="-173.90700000000001"/>
    <n v="13.903"/>
    <n v="0"/>
    <n v="0"/>
    <n v="-160.00400000000002"/>
    <n v="-64.225999999999999"/>
    <n v="5.7679999999999998"/>
    <n v="0"/>
    <n v="0"/>
    <n v="-58.457999999999998"/>
    <n v="-1773.8400000000001"/>
    <n v="-295.64"/>
    <n v="313"/>
    <n v="1"/>
    <n v="194"/>
    <n v="1606"/>
    <n v="2114"/>
    <n v="14450"/>
    <n v="143.48000000000002"/>
    <n v="860.88000000000011"/>
    <n v="100.71090047393363"/>
    <n v="16.785150078988938"/>
    <m/>
    <n v="807"/>
    <n v="380"/>
    <n v="0"/>
    <n v="168.26758761172044"/>
    <n v="573"/>
    <n v="0"/>
    <n v="253.72980974083109"/>
    <n v="0"/>
    <n v="184"/>
    <n v="184"/>
    <n v="486"/>
    <n v="0"/>
    <n v="215.2053883665688"/>
    <n v="6383"/>
    <n v="6383"/>
    <n v="0.44280944108347486"/>
    <n v="1628.2027857191204"/>
    <n v="17.776886219378763"/>
    <n v="2.9628143698964604"/>
    <m/>
    <n v="3742.2027857191206"/>
    <n v="374.2202785719121"/>
    <n v="0.17701999932446175"/>
    <n v="4.0857756610574416"/>
    <n v="0.68096261017624016"/>
    <n v="23.080870391195642"/>
    <n v="3.8468117318659401"/>
    <n v="118.4877866933124"/>
    <n v="122.57356235436984"/>
    <n v="141.56865708450803"/>
    <n v="19.747964448885398"/>
    <n v="20.428927059061639"/>
    <n v="23.594776180751339"/>
    <n v="4"/>
    <n v="11.84877866933124"/>
    <n v="1085.2414871027177"/>
    <n v="0.51335926542228838"/>
    <m/>
    <n v="2611"/>
    <n v="8717"/>
    <n v="104.590872275"/>
    <n v="39.768392499999997"/>
    <n v="2.63"/>
    <n v="90.10038505"/>
    <n v="40.769404999999999"/>
    <n v="2.21"/>
    <n v="104.4141109875"/>
    <n v="40.628058750000001"/>
    <n v="2.57"/>
    <n v="146.90868392499996"/>
    <n v="39.434143749999983"/>
    <n v="3.7254183799794061"/>
    <n v="382.22799999999995"/>
    <n v="160.6"/>
    <n v="2.38"/>
    <n v="516.89132538750005"/>
    <n v="11.555808750000001"/>
    <n v="44.73"/>
    <n v="628.53274844999999"/>
    <n v="11.652442500000001"/>
    <n v="53.94"/>
    <n v="488.61834965000003"/>
    <n v="10.987595000000001"/>
    <n v="44.47"/>
    <n v="427.47857651250013"/>
    <n v="10.904153750000003"/>
    <n v="39.203278522416291"/>
    <n v="2061.5210000000002"/>
    <n v="45.1"/>
    <n v="45.71"/>
    <n v="47.398078750000003"/>
    <n v="4.3089162500000002"/>
    <n v="11"/>
    <n v="50.687900399999997"/>
    <n v="5.0136399999999997"/>
    <n v="10.11"/>
    <n v="41.117085749999994"/>
    <n v="5.0142787499999999"/>
    <n v="8.1999999999999993"/>
    <n v="52.280935100000015"/>
    <n v="5.3631650000000013"/>
    <n v="9.7481496653561841"/>
    <n v="191.48400000000001"/>
    <n v="19.7"/>
    <n v="9.7200000000000006"/>
    <n v="48.66"/>
    <n v="2.62"/>
    <n v="4.97"/>
    <n v="2.9"/>
    <n v="2.75"/>
    <n v="2.76"/>
    <n v="2.12"/>
    <n v="5.43"/>
    <n v="5.2"/>
    <n v="4.68"/>
    <n v="4.5999999999999996"/>
    <n v="48.49"/>
    <n v="57.85"/>
    <n v="46.64"/>
    <n v="41.94"/>
  </r>
  <r>
    <x v="1"/>
    <s v="APA"/>
    <x v="9"/>
    <n v="145.01900000000001"/>
    <n v="38"/>
    <n v="19.824000000000002"/>
    <n v="81.993833333333328"/>
    <n v="491.96300000000002"/>
    <n v="258.51400000000001"/>
    <n v="62.744"/>
    <n v="3.1179999999999986"/>
    <n v="108.94766666666666"/>
    <n v="653.68600000000004"/>
    <n v="190.94149999999999"/>
    <n v="1145.6490000000001"/>
    <n v="0.42941860901550122"/>
    <n v="0.29477623317200685"/>
    <n v="0.46344948705492084"/>
    <n v="0.24177427977307239"/>
    <n v="21.088000000000001"/>
    <n v="17.311"/>
    <n v="231.304"/>
    <n v="461.69799999999998"/>
    <n v="-259.56000000000006"/>
    <n v="76.949666666666673"/>
    <n v="-43.259999999999991"/>
    <n v="-0.35987122499854413"/>
    <m/>
    <n v="-215.37799999999999"/>
    <n v="219.63300000000001"/>
    <n v="7.0000000000000001E-3"/>
    <n v="0"/>
    <n v="4.2620000000000235"/>
    <n v="-58.881999999999998"/>
    <n v="9.6140000000000008"/>
    <n v="2.1000000000000001E-2"/>
    <n v="0"/>
    <n v="-49.247"/>
    <n v="6.8239999999999998"/>
    <n v="10.238"/>
    <n v="2E-3"/>
    <n v="0"/>
    <n v="17.063999999999997"/>
    <n v="-188.83599999999998"/>
    <n v="-31.472666666666665"/>
    <n v="110"/>
    <n v="0"/>
    <n v="278"/>
    <n v="450"/>
    <n v="838"/>
    <n v="9798"/>
    <n v="-155.32516666666663"/>
    <n v="-931.95100000000025"/>
    <n v="-63.08056968660371"/>
    <n v="-10.513428281100612"/>
    <m/>
    <n v="633"/>
    <n v="410"/>
    <n v="0"/>
    <n v="176.06162969635548"/>
    <n v="305"/>
    <n v="0"/>
    <n v="130.97267574972784"/>
    <n v="0"/>
    <n v="139"/>
    <n v="139"/>
    <n v="464"/>
    <n v="0"/>
    <n v="199.25023458319254"/>
    <n v="5208"/>
    <n v="5208"/>
    <n v="0.42941860901550116"/>
    <n v="1278.2845400292758"/>
    <n v="15.590008273336929"/>
    <n v="2.5983347122228211"/>
    <m/>
    <n v="2116.2845400292758"/>
    <n v="211.62845400292758"/>
    <n v="0.25253992124454366"/>
    <n v="2.5810289066811234"/>
    <n v="0.43017148444685388"/>
    <n v="10.220280793474307"/>
    <n v="1.7033801322457176"/>
    <n v="-47.490561413266782"/>
    <n v="-44.909532506585656"/>
    <n v="-37.270280619792473"/>
    <n v="-7.9150935688777917"/>
    <n v="-7.4849220844309379"/>
    <n v="-6.2117134366320741"/>
    <n v="4"/>
    <n v="-4.7490561413266779"/>
    <n v="-389.39331774258272"/>
    <n v="-0.46466983024174552"/>
    <m/>
    <n v="1969"/>
    <n v="8544"/>
    <n v="61.694640562499991"/>
    <n v="37.390691249999996"/>
    <n v="1.65"/>
    <n v="63.310545750000003"/>
    <n v="37.241497500000001"/>
    <n v="1.7"/>
    <n v="95.891423950000004"/>
    <n v="36.049407500000001"/>
    <n v="2.66"/>
    <n v="153.5954061875"/>
    <n v="34.318403749999987"/>
    <n v="4.4755987867734106"/>
    <n v="314.64999999999998"/>
    <n v="145"/>
    <n v="2.17"/>
    <n v="314.73242173750003"/>
    <n v="10.572133750000001"/>
    <n v="29.77"/>
    <n v="408.59787668750005"/>
    <n v="9.7401162499999998"/>
    <n v="41.95"/>
    <n v="375.09154463749996"/>
    <n v="8.9670462499999992"/>
    <n v="41.83"/>
    <n v="399.91815693749987"/>
    <n v="8.7207037500000002"/>
    <n v="45.85847294004224"/>
    <n v="1498.34"/>
    <n v="38"/>
    <n v="39.43"/>
    <n v="33.596151250000005"/>
    <n v="5.0826250000000002"/>
    <n v="6.61"/>
    <n v="49.444330799999996"/>
    <n v="5.0764199999999997"/>
    <n v="9.74"/>
    <n v="49.315556062500001"/>
    <n v="5.1423937500000001"/>
    <n v="9.59"/>
    <n v="51.387961887499998"/>
    <n v="4.4985612500000016"/>
    <n v="11.423199336787953"/>
    <n v="183.744"/>
    <n v="19.8"/>
    <n v="9.2799999999999994"/>
    <n v="43.2"/>
    <n v="2.52"/>
    <n v="5.04"/>
    <n v="1.99"/>
    <n v="2.15"/>
    <n v="2.88"/>
    <n v="3.04"/>
    <n v="4.0199999999999996"/>
    <n v="5"/>
    <n v="5.04"/>
    <n v="6.05"/>
    <n v="33.35"/>
    <n v="45.46"/>
    <n v="44.85"/>
    <n v="49.14"/>
  </r>
  <r>
    <x v="2"/>
    <s v="COG"/>
    <x v="0"/>
    <n v="80.474999999999994"/>
    <n v="0.83"/>
    <n v="0"/>
    <n v="14.2425"/>
    <n v="85.454999999999998"/>
    <n v="0"/>
    <n v="0"/>
    <n v="0"/>
    <n v="0"/>
    <n v="0"/>
    <n v="14.2425"/>
    <n v="85.454999999999998"/>
    <n v="1"/>
    <n v="0.94172371423556256"/>
    <n v="5.827628576443742E-2"/>
    <n v="0"/>
    <n v="2.302"/>
    <n v="0"/>
    <n v="426.01600000000002"/>
    <n v="439.82800000000003"/>
    <m/>
    <n v="73.304666666666677"/>
    <m/>
    <m/>
    <m/>
    <n v="2.6040000000000001"/>
    <n v="265.83"/>
    <n v="3.7010000000000001"/>
    <n v="0"/>
    <n v="272.13499999999999"/>
    <n v="0.77100000000000002"/>
    <n v="1.381"/>
    <n v="3.3000000000000002E-2"/>
    <n v="0"/>
    <n v="2.1850000000000001"/>
    <n v="0"/>
    <n v="0"/>
    <n v="0"/>
    <n v="0"/>
    <n v="0"/>
    <n v="285.245"/>
    <n v="47.540833333333332"/>
    <n v="22.186"/>
    <n v="3.9820000000000002"/>
    <n v="70.242000000000004"/>
    <n v="494.20400000000001"/>
    <n v="590.61400000000003"/>
    <m/>
    <m/>
    <m/>
    <m/>
    <m/>
    <m/>
    <m/>
    <m/>
    <m/>
    <m/>
    <m/>
    <m/>
    <m/>
    <m/>
    <m/>
    <m/>
    <m/>
    <m/>
    <m/>
    <n v="0"/>
    <n v="0"/>
    <m/>
    <m/>
    <m/>
    <m/>
    <m/>
    <m/>
    <m/>
    <m/>
    <m/>
    <m/>
    <m/>
    <m/>
    <m/>
    <m/>
    <m/>
    <m/>
    <m/>
    <m/>
    <n v="4"/>
    <m/>
    <m/>
    <m/>
    <m/>
    <m/>
    <m/>
    <m/>
    <m/>
    <m/>
    <m/>
    <m/>
    <m/>
    <m/>
    <m/>
    <m/>
    <m/>
    <m/>
    <m/>
    <m/>
    <m/>
    <m/>
    <m/>
    <m/>
    <m/>
    <m/>
    <m/>
    <m/>
    <m/>
    <m/>
    <m/>
    <m/>
    <m/>
    <m/>
    <m/>
    <m/>
    <m/>
    <m/>
    <m/>
    <m/>
    <m/>
    <m/>
    <m/>
    <m/>
    <m/>
    <m/>
    <m/>
    <m/>
    <m/>
    <m/>
    <m/>
    <m/>
    <n v="72.34"/>
    <n v="6.97"/>
    <n v="12.91"/>
    <m/>
    <m/>
    <m/>
    <m/>
    <m/>
    <m/>
    <m/>
    <m/>
    <m/>
    <m/>
    <m/>
    <m/>
  </r>
  <r>
    <x v="2"/>
    <s v="COG"/>
    <x v="1"/>
    <n v="90.424999999999997"/>
    <n v="0.79400000000000004"/>
    <n v="0"/>
    <n v="15.864833333333333"/>
    <n v="95.188999999999993"/>
    <n v="0"/>
    <n v="0"/>
    <n v="0"/>
    <n v="0"/>
    <n v="0"/>
    <n v="15.864833333333333"/>
    <n v="95.188999999999993"/>
    <n v="1"/>
    <n v="0.94995220035928529"/>
    <n v="5.0047799640714791E-2"/>
    <n v="0"/>
    <n v="2.613"/>
    <n v="0"/>
    <n v="577.83799999999997"/>
    <n v="593.51599999999996"/>
    <n v="153.68799999999993"/>
    <n v="98.919333333333327"/>
    <n v="25.61466666666665"/>
    <n v="0.34942750347863227"/>
    <m/>
    <n v="-47.744999999999997"/>
    <n v="297.089"/>
    <n v="167.262"/>
    <n v="0"/>
    <n v="416.60599999999999"/>
    <n v="-1.593"/>
    <n v="1.1339999999999999"/>
    <n v="1.268"/>
    <n v="0"/>
    <n v="0.80899999999999994"/>
    <n v="0"/>
    <n v="0"/>
    <n v="0"/>
    <n v="0"/>
    <n v="0"/>
    <n v="421.46"/>
    <n v="70.243333333333325"/>
    <n v="152.666"/>
    <n v="605.86"/>
    <n v="89.02"/>
    <n v="594.221"/>
    <n v="1441.7670000000001"/>
    <m/>
    <m/>
    <m/>
    <m/>
    <m/>
    <m/>
    <m/>
    <m/>
    <m/>
    <m/>
    <m/>
    <m/>
    <m/>
    <m/>
    <m/>
    <m/>
    <m/>
    <m/>
    <m/>
    <n v="0"/>
    <n v="0"/>
    <m/>
    <m/>
    <m/>
    <m/>
    <m/>
    <m/>
    <m/>
    <m/>
    <m/>
    <m/>
    <m/>
    <m/>
    <m/>
    <m/>
    <m/>
    <m/>
    <m/>
    <m/>
    <n v="4"/>
    <m/>
    <m/>
    <m/>
    <m/>
    <m/>
    <m/>
    <m/>
    <m/>
    <m/>
    <m/>
    <m/>
    <m/>
    <m/>
    <m/>
    <m/>
    <m/>
    <m/>
    <m/>
    <m/>
    <m/>
    <m/>
    <m/>
    <m/>
    <m/>
    <m/>
    <m/>
    <m/>
    <m/>
    <m/>
    <m/>
    <m/>
    <m/>
    <m/>
    <m/>
    <m/>
    <m/>
    <m/>
    <m/>
    <m/>
    <m/>
    <m/>
    <m/>
    <m/>
    <m/>
    <m/>
    <m/>
    <m/>
    <m/>
    <m/>
    <m/>
    <m/>
    <n v="99.67"/>
    <n v="8.86"/>
    <n v="15.2"/>
    <m/>
    <m/>
    <m/>
    <m/>
    <m/>
    <m/>
    <m/>
    <m/>
    <m/>
    <m/>
    <m/>
    <m/>
  </r>
  <r>
    <x v="2"/>
    <s v="COG"/>
    <x v="2"/>
    <n v="97.914000000000001"/>
    <n v="0.84399999999999997"/>
    <n v="0"/>
    <n v="17.163"/>
    <n v="102.97800000000001"/>
    <n v="0"/>
    <n v="0"/>
    <n v="0"/>
    <n v="0"/>
    <n v="0"/>
    <n v="17.163"/>
    <n v="102.97800000000001"/>
    <n v="1"/>
    <n v="0.95082444794033671"/>
    <n v="4.917555205966323E-2"/>
    <n v="0"/>
    <n v="1.7010000000000001"/>
    <n v="0"/>
    <n v="725"/>
    <n v="735.20600000000002"/>
    <n v="141.69000000000005"/>
    <n v="122.53433333333332"/>
    <n v="23.614999999999995"/>
    <n v="0.238729874173569"/>
    <m/>
    <n v="-193.767"/>
    <n v="459.61200000000002"/>
    <n v="9"/>
    <n v="0"/>
    <n v="274.84500000000003"/>
    <n v="-1.0620000000000001"/>
    <n v="0.54400000000000004"/>
    <n v="0"/>
    <n v="0"/>
    <n v="-0.51800000000000002"/>
    <n v="0"/>
    <n v="0"/>
    <n v="0"/>
    <n v="0"/>
    <n v="0"/>
    <n v="271.73700000000002"/>
    <n v="45.289500000000004"/>
    <n v="145.68100000000001"/>
    <n v="0.39400000000000002"/>
    <n v="68.195999999999998"/>
    <n v="379.14"/>
    <n v="593.41100000000006"/>
    <n v="2625.7920000000004"/>
    <n v="163.07366666666667"/>
    <n v="978.44200000000001"/>
    <n v="16.101876248157787"/>
    <n v="2.6836460413596313"/>
    <m/>
    <n v="107.794"/>
    <n v="0"/>
    <n v="68.373999999999995"/>
    <n v="68.373999999999995"/>
    <n v="0"/>
    <n v="27.08"/>
    <n v="27.08"/>
    <n v="0"/>
    <n v="44.649000000000001"/>
    <n v="44.649000000000001"/>
    <n v="0"/>
    <n v="53.241099999999996"/>
    <n v="53.241099999999996"/>
    <n v="743.54300000000001"/>
    <n v="743.54300000000001"/>
    <n v="1"/>
    <n v="301.13809999999995"/>
    <n v="17.545772883528517"/>
    <n v="2.9242954805880861"/>
    <m/>
    <n v="894.54909999999995"/>
    <n v="89.454909999999998"/>
    <n v="0.15074696963824397"/>
    <n v="5.2120788906368345"/>
    <n v="0.86867981510613912"/>
    <n v="34.575016022839833"/>
    <n v="5.7625026704733049"/>
    <n v="33.647649131686308"/>
    <n v="38.859728022323139"/>
    <n v="68.22266515452614"/>
    <n v="5.6079415219477173"/>
    <n v="6.4766213370538566"/>
    <n v="11.370444192421022"/>
    <n v="4"/>
    <n v="3.3647649131686306"/>
    <n v="57.749460204713209"/>
    <n v="9.7317812114560059E-2"/>
    <n v="4.1790000000000003"/>
    <m/>
    <m/>
    <m/>
    <m/>
    <m/>
    <m/>
    <m/>
    <m/>
    <m/>
    <m/>
    <m/>
    <m/>
    <m/>
    <m/>
    <m/>
    <m/>
    <m/>
    <m/>
    <m/>
    <m/>
    <m/>
    <m/>
    <m/>
    <m/>
    <m/>
    <m/>
    <m/>
    <m/>
    <m/>
    <m/>
    <m/>
    <m/>
    <m/>
    <m/>
    <m/>
    <m/>
    <m/>
    <m/>
    <m/>
    <m/>
    <m/>
    <m/>
    <m/>
    <m/>
    <m/>
    <m/>
    <m/>
    <n v="61.95"/>
    <n v="3.94"/>
    <n v="8.99"/>
    <m/>
    <m/>
    <m/>
    <m/>
    <m/>
    <m/>
    <m/>
    <m/>
    <m/>
    <m/>
    <m/>
    <m/>
  </r>
  <r>
    <x v="2"/>
    <s v="COG"/>
    <x v="3"/>
    <n v="125.474"/>
    <n v="0.85799999999999998"/>
    <n v="0"/>
    <n v="21.770333333333333"/>
    <n v="130.62200000000001"/>
    <n v="0"/>
    <n v="0"/>
    <n v="0"/>
    <n v="0"/>
    <n v="0"/>
    <n v="21.770333333333333"/>
    <n v="130.62200000000001"/>
    <n v="1"/>
    <n v="0.96058856854128705"/>
    <n v="3.9411431458712926E-2"/>
    <n v="0"/>
    <n v="2.3620000000000001"/>
    <n v="0"/>
    <n v="963"/>
    <n v="977.17200000000003"/>
    <n v="241.96600000000001"/>
    <n v="162.86199999999999"/>
    <n v="40.327666666666673"/>
    <n v="0.32911320092599905"/>
    <m/>
    <n v="139.01599999999999"/>
    <n v="632.98"/>
    <n v="0.59299999999999997"/>
    <n v="0"/>
    <n v="772.58899999999994"/>
    <n v="-0.379"/>
    <n v="2.944"/>
    <n v="4"/>
    <n v="0"/>
    <n v="6.5649999999999995"/>
    <n v="0"/>
    <n v="0"/>
    <n v="0"/>
    <n v="0"/>
    <n v="0"/>
    <n v="811.97899999999993"/>
    <n v="135.32983333333331"/>
    <n v="130.67500000000001"/>
    <n v="0.80100000000000005"/>
    <n v="66.367999999999995"/>
    <n v="630.51099999999997"/>
    <n v="828.35500000000002"/>
    <n v="2863.5330000000004"/>
    <n v="250.86266666666666"/>
    <n v="1505.1759999999999"/>
    <n v="11.414743525009701"/>
    <n v="1.9024572541682836"/>
    <m/>
    <n v="118.711"/>
    <n v="0"/>
    <n v="79.177000000000007"/>
    <n v="79.177000000000007"/>
    <n v="0"/>
    <n v="1.05"/>
    <n v="1.05"/>
    <n v="0"/>
    <n v="37.893999999999998"/>
    <n v="37.893999999999998"/>
    <n v="0"/>
    <n v="57.712600000000002"/>
    <n v="57.712600000000002"/>
    <n v="713.64599999999996"/>
    <n v="713.64599999999996"/>
    <n v="1"/>
    <n v="294.5446"/>
    <n v="13.529632068104913"/>
    <n v="2.2549386780174854"/>
    <m/>
    <n v="1122.8996"/>
    <n v="112.28996000000001"/>
    <n v="0.13555777414272865"/>
    <n v="5.1579348042443085"/>
    <n v="0.85965580070738468"/>
    <n v="38.04971597433817"/>
    <n v="6.3416193290563605"/>
    <n v="24.944375593114614"/>
    <n v="30.102310397358924"/>
    <n v="62.994091567452784"/>
    <n v="4.1573959321857687"/>
    <n v="5.0170517328931536"/>
    <n v="10.499015261242128"/>
    <n v="4"/>
    <n v="2.4944375593114616"/>
    <n v="54.304737145396956"/>
    <n v="6.555732402822094E-2"/>
    <n v="4.2850000000000001"/>
    <m/>
    <m/>
    <m/>
    <m/>
    <m/>
    <m/>
    <m/>
    <m/>
    <m/>
    <m/>
    <m/>
    <m/>
    <m/>
    <m/>
    <m/>
    <m/>
    <m/>
    <m/>
    <m/>
    <m/>
    <m/>
    <m/>
    <m/>
    <m/>
    <m/>
    <m/>
    <m/>
    <m/>
    <m/>
    <m/>
    <m/>
    <m/>
    <m/>
    <m/>
    <m/>
    <m/>
    <m/>
    <m/>
    <m/>
    <m/>
    <m/>
    <m/>
    <m/>
    <m/>
    <m/>
    <m/>
    <m/>
    <n v="79.48"/>
    <n v="4.37"/>
    <n v="11.83"/>
    <m/>
    <m/>
    <m/>
    <m/>
    <m/>
    <m/>
    <m/>
    <m/>
    <m/>
    <m/>
    <m/>
    <m/>
  </r>
  <r>
    <x v="2"/>
    <s v="COG"/>
    <x v="4"/>
    <n v="179"/>
    <n v="1.08"/>
    <n v="0"/>
    <n v="30.913333333333334"/>
    <n v="185.48"/>
    <n v="0"/>
    <n v="0"/>
    <n v="0"/>
    <n v="0"/>
    <n v="0"/>
    <n v="30.913333333333334"/>
    <n v="185.48"/>
    <n v="1"/>
    <n v="0.96506361871899937"/>
    <n v="3.4936381281000649E-2"/>
    <n v="0"/>
    <n v="9.548"/>
    <n v="0"/>
    <n v="1176"/>
    <n v="1233.288"/>
    <n v="256.11599999999999"/>
    <n v="205.548"/>
    <n v="42.686000000000007"/>
    <n v="0.26209920055015906"/>
    <s v="NGLs were 7.6% of proved crude &amp; NGL reserves; All reserves in US"/>
    <n v="22"/>
    <n v="629"/>
    <n v="0"/>
    <n v="0"/>
    <n v="651"/>
    <n v="-0.08"/>
    <n v="13.583"/>
    <n v="0"/>
    <n v="0"/>
    <n v="13.503"/>
    <n v="0"/>
    <n v="0"/>
    <n v="0"/>
    <n v="0"/>
    <n v="0"/>
    <n v="732.01800000000003"/>
    <n v="122.003"/>
    <n v="71.134"/>
    <n v="0"/>
    <n v="53.484000000000002"/>
    <n v="763.63499999999999"/>
    <n v="888.25299999999993"/>
    <n v="2310.0190000000002"/>
    <n v="302.6223333333333"/>
    <n v="1815.7339999999999"/>
    <n v="7.633339464921626"/>
    <n v="1.2722232441536041"/>
    <m/>
    <n v="180.73099999999999"/>
    <n v="0"/>
    <n v="104.667"/>
    <n v="104.667"/>
    <n v="0"/>
    <n v="65.352000000000004"/>
    <n v="65.352000000000004"/>
    <n v="0"/>
    <n v="27.576000000000001"/>
    <n v="27.576000000000001"/>
    <n v="0"/>
    <n v="53.671600000000005"/>
    <n v="53.671600000000005"/>
    <n v="796.51700000000005"/>
    <n v="796.51700000000005"/>
    <n v="1"/>
    <n v="431.99760000000003"/>
    <n v="13.974474875997412"/>
    <n v="2.329079145999569"/>
    <m/>
    <n v="1320.2505999999998"/>
    <n v="132.02506"/>
    <n v="0.14863452192111934"/>
    <n v="4.2708128100064693"/>
    <n v="0.71180213500107825"/>
    <n v="28.733653224067282"/>
    <n v="4.7889422040112137"/>
    <n v="21.607814340919038"/>
    <n v="25.878627150925507"/>
    <n v="50.341467564986317"/>
    <n v="3.6013023901531733"/>
    <n v="4.3131045251542517"/>
    <n v="8.3902445941643862"/>
    <n v="4"/>
    <n v="2.1607814340919038"/>
    <n v="66.796956732561057"/>
    <n v="7.5200372790816428E-2"/>
    <n v="5.3280000000000003"/>
    <m/>
    <m/>
    <m/>
    <m/>
    <m/>
    <m/>
    <m/>
    <m/>
    <m/>
    <m/>
    <m/>
    <m/>
    <m/>
    <m/>
    <m/>
    <m/>
    <m/>
    <m/>
    <m/>
    <m/>
    <m/>
    <m/>
    <m/>
    <m/>
    <m/>
    <m/>
    <m/>
    <m/>
    <m/>
    <m/>
    <m/>
    <m/>
    <m/>
    <m/>
    <m/>
    <m/>
    <m/>
    <m/>
    <m/>
    <m/>
    <m/>
    <m/>
    <m/>
    <m/>
    <m/>
    <m/>
    <m/>
    <n v="94.88"/>
    <n v="4"/>
    <n v="15.12"/>
    <m/>
    <m/>
    <m/>
    <m/>
    <m/>
    <m/>
    <m/>
    <m/>
    <m/>
    <m/>
    <m/>
    <m/>
  </r>
  <r>
    <x v="2"/>
    <s v="COG"/>
    <x v="5"/>
    <n v="253"/>
    <n v="2.407"/>
    <n v="0"/>
    <n v="44.573666666666668"/>
    <n v="267.44200000000001"/>
    <n v="0"/>
    <n v="0"/>
    <n v="0"/>
    <n v="0"/>
    <n v="0"/>
    <n v="44.573666666666668"/>
    <n v="267.44200000000001"/>
    <n v="1"/>
    <n v="0.94599950643504005"/>
    <n v="5.4000493564959881E-2"/>
    <n v="0"/>
    <n v="11.545999999999999"/>
    <n v="0"/>
    <n v="1480"/>
    <n v="1549.2760000000001"/>
    <n v="315.98800000000006"/>
    <n v="258.21266666666668"/>
    <n v="52.664666666666676"/>
    <n v="0.25621590415215267"/>
    <s v="NGLs were 8.7 %of proved crude &amp; NGL reserves; All reserves in US"/>
    <n v="207"/>
    <n v="869"/>
    <n v="0"/>
    <n v="0"/>
    <n v="1076"/>
    <n v="-3.101"/>
    <n v="9.6280000000000001"/>
    <n v="0"/>
    <n v="0"/>
    <n v="6.5270000000000001"/>
    <n v="0"/>
    <n v="0"/>
    <n v="0"/>
    <n v="0"/>
    <n v="0"/>
    <n v="1115.162"/>
    <n v="185.86033333333333"/>
    <n v="88.88"/>
    <n v="0"/>
    <n v="59.198"/>
    <n v="821.80600000000004"/>
    <n v="969.88400000000001"/>
    <n v="2686.4920000000002"/>
    <n v="443.19316666666668"/>
    <n v="2659.1589999999997"/>
    <n v="6.0616728822909804"/>
    <n v="1.0102788137151635"/>
    <m/>
    <n v="261.55200000000002"/>
    <n v="0"/>
    <n v="121.239"/>
    <n v="121.239"/>
    <n v="0"/>
    <n v="22.501000000000001"/>
    <n v="22.501000000000001"/>
    <n v="0"/>
    <n v="48.874000000000002"/>
    <n v="48.874000000000002"/>
    <n v="0"/>
    <n v="51.094100000000005"/>
    <n v="51.094100000000005"/>
    <n v="1162.067"/>
    <n v="1162.067"/>
    <n v="1"/>
    <n v="505.26010000000002"/>
    <n v="11.33539459022891"/>
    <n v="1.8892324317048184"/>
    <m/>
    <n v="1475.1441"/>
    <n v="147.51441"/>
    <n v="0.15209490000866083"/>
    <n v="3.3094519933293944"/>
    <n v="0.55157533222156574"/>
    <n v="21.759125343065037"/>
    <n v="3.6265208905108395"/>
    <n v="17.39706747251989"/>
    <n v="20.706519465849283"/>
    <n v="39.15619281558493"/>
    <n v="2.8995112454199816"/>
    <n v="3.4510865776415471"/>
    <n v="6.5260321359308211"/>
    <n v="4"/>
    <n v="1.7397067472519889"/>
    <n v="77.545108649761076"/>
    <n v="7.9952972365521111E-2"/>
    <n v="10.39"/>
    <m/>
    <m/>
    <n v="205.85999999999999"/>
    <n v="56.4"/>
    <n v="3.65"/>
    <n v="200.68800000000002"/>
    <n v="59.2"/>
    <n v="3.39"/>
    <n v="230.73600000000002"/>
    <n v="62.7"/>
    <n v="3.68"/>
    <n v="291.95999999999992"/>
    <n v="74.899999999999963"/>
    <n v="3.8979973297730317"/>
    <n v="929.24399999999991"/>
    <n v="253.2"/>
    <n v="3.67"/>
    <n v="49.981000000000002"/>
    <n v="0.51702699906899763"/>
    <n v="96.67"/>
    <n v="57.466000000000001"/>
    <n v="0.5600428808108372"/>
    <n v="102.61"/>
    <n v="57.87"/>
    <n v="0.57104795737122549"/>
    <n v="101.34"/>
    <n v="62.615999999999978"/>
    <n v="0.59421369250791634"/>
    <n v="105.37623213582508"/>
    <n v="227.93299999999999"/>
    <n v="2.2423315297589768"/>
    <n v="101.65"/>
    <m/>
    <m/>
    <m/>
    <m/>
    <m/>
    <m/>
    <m/>
    <m/>
    <m/>
    <m/>
    <m/>
    <m/>
    <m/>
    <m/>
    <m/>
    <n v="94.05"/>
    <n v="2.75"/>
    <n v="10.98"/>
    <n v="2.41"/>
    <n v="2.2799999999999998"/>
    <n v="2.88"/>
    <n v="3.4"/>
    <n v="13.14"/>
    <n v="10.75"/>
    <n v="9.9600000000000009"/>
    <n v="10.08"/>
    <n v="102.98"/>
    <n v="93.29"/>
    <n v="92.17"/>
    <n v="88.01"/>
  </r>
  <r>
    <x v="2"/>
    <s v="COG"/>
    <x v="6"/>
    <n v="394"/>
    <n v="3.2210000000000001"/>
    <n v="0"/>
    <n v="68.887666666666675"/>
    <n v="413.32600000000002"/>
    <n v="0"/>
    <n v="0"/>
    <n v="0"/>
    <n v="0"/>
    <n v="0"/>
    <n v="68.887666666666675"/>
    <n v="413.32600000000002"/>
    <n v="1"/>
    <n v="0.95324271882243072"/>
    <n v="4.6757281177569276E-2"/>
    <n v="0"/>
    <n v="12.885999999999999"/>
    <n v="0"/>
    <n v="2148"/>
    <n v="2225.3159999999998"/>
    <n v="676.03999999999974"/>
    <n v="370.88600000000002"/>
    <n v="112.67333333333335"/>
    <n v="0.43635866043235683"/>
    <s v="NGLs were 12.3% of proved crude &amp; NGL reserves; All reserves in US"/>
    <n v="435"/>
    <n v="1661"/>
    <n v="0"/>
    <n v="0"/>
    <n v="2096"/>
    <n v="-0.41899999999999998"/>
    <n v="10.683"/>
    <n v="0"/>
    <n v="0"/>
    <n v="10.263999999999999"/>
    <n v="0"/>
    <n v="0"/>
    <n v="0"/>
    <n v="0"/>
    <n v="0"/>
    <n v="2157.5839999999998"/>
    <n v="359.59733333333332"/>
    <n v="71.233999999999995"/>
    <n v="0"/>
    <n v="44.905999999999999"/>
    <n v="1069.9649999999999"/>
    <n v="1186.105"/>
    <n v="3044.2420000000002"/>
    <n v="667.46066666666661"/>
    <n v="4004.7640000000001"/>
    <n v="4.5609309312608692"/>
    <n v="0.76015515521014476"/>
    <m/>
    <n v="370.34199999999998"/>
    <n v="0"/>
    <n v="104.60599999999999"/>
    <n v="104.60599999999999"/>
    <n v="0"/>
    <n v="35.280999999999999"/>
    <n v="35.280999999999999"/>
    <n v="0"/>
    <n v="43.045000000000002"/>
    <n v="43.045000000000002"/>
    <n v="0"/>
    <n v="53.301100000000005"/>
    <n v="53.301100000000005"/>
    <n v="1696.6799999999998"/>
    <n v="1696.6799999999998"/>
    <n v="1"/>
    <n v="606.57510000000002"/>
    <n v="8.8052786420404221"/>
    <n v="1.4675464403400704"/>
    <m/>
    <n v="1792.6801"/>
    <n v="179.26801"/>
    <n v="0.15114008456249658"/>
    <n v="2.6023237347759394"/>
    <n v="0.43372062246265658"/>
    <n v="17.217958705718971"/>
    <n v="2.8696597842864953"/>
    <n v="13.36620957330129"/>
    <n v="15.96853330807723"/>
    <n v="30.584168279020261"/>
    <n v="2.2277015955502151"/>
    <n v="2.6614222180128717"/>
    <n v="5.0973613798367108"/>
    <n v="4"/>
    <n v="1.3366209573301291"/>
    <n v="92.07669896823883"/>
    <n v="7.7629467010288999E-2"/>
    <n v="0"/>
    <m/>
    <m/>
    <n v="293.94"/>
    <n v="85.2"/>
    <n v="3.45"/>
    <n v="368.24199999999996"/>
    <n v="90.7"/>
    <n v="4.0599999999999996"/>
    <n v="341.71199999999999"/>
    <n v="101.7"/>
    <n v="3.36"/>
    <n v="399.45800000000008"/>
    <n v="116.60000000000001"/>
    <n v="3.4258833619210982"/>
    <n v="1403.3520000000001"/>
    <n v="394.2"/>
    <n v="3.56"/>
    <n v="65.655000000000001"/>
    <n v="0.63111602422378166"/>
    <n v="104.03"/>
    <n v="70.225999999999999"/>
    <n v="0.692632409507841"/>
    <n v="101.39"/>
    <n v="84.209000000000003"/>
    <n v="0.81157478797224358"/>
    <n v="103.76"/>
    <n v="71.328000000000003"/>
    <n v="0.74629449806277082"/>
    <n v="95.576210443937384"/>
    <n v="291.41800000000001"/>
    <n v="2.8816177197666373"/>
    <n v="101.13"/>
    <m/>
    <m/>
    <m/>
    <m/>
    <m/>
    <m/>
    <m/>
    <m/>
    <m/>
    <m/>
    <m/>
    <m/>
    <m/>
    <m/>
    <m/>
    <n v="97.98"/>
    <n v="3.73"/>
    <n v="9.94"/>
    <n v="3.49"/>
    <n v="4.01"/>
    <n v="3.56"/>
    <n v="3.85"/>
    <n v="9.77"/>
    <n v="9.39"/>
    <n v="10.01"/>
    <n v="10.53"/>
    <n v="94.33"/>
    <n v="94.05"/>
    <n v="105.83"/>
    <n v="97.44"/>
  </r>
  <r>
    <x v="2"/>
    <s v="COG"/>
    <x v="7"/>
    <n v="508"/>
    <n v="3.9609999999999999"/>
    <n v="0"/>
    <n v="88.62766666666667"/>
    <n v="531.76599999999996"/>
    <n v="0"/>
    <n v="0"/>
    <n v="0"/>
    <n v="0"/>
    <n v="0"/>
    <n v="88.62766666666667"/>
    <n v="531.76599999999996"/>
    <n v="1"/>
    <n v="0.9553074096501093"/>
    <n v="4.4692590349890739E-2"/>
    <n v="0"/>
    <n v="25.914999999999999"/>
    <n v="0"/>
    <n v="2743"/>
    <n v="2898.49"/>
    <n v="673.17399999999998"/>
    <n v="483.08166666666671"/>
    <n v="112.19566666666668"/>
    <n v="0.30250714954640151"/>
    <m/>
    <n v="483"/>
    <n v="1807"/>
    <n v="7"/>
    <n v="0"/>
    <n v="2297"/>
    <n v="1.6879999999999999"/>
    <n v="17.222999999999999"/>
    <n v="11.778"/>
    <n v="0"/>
    <n v="30.689"/>
    <n v="0"/>
    <n v="0"/>
    <n v="0"/>
    <n v="0"/>
    <n v="0"/>
    <n v="2481.134"/>
    <n v="413.52233333333334"/>
    <n v="73.962000000000003"/>
    <n v="214.73699999999999"/>
    <n v="36.305999999999997"/>
    <n v="1446.7280000000001"/>
    <n v="1771.7330000000002"/>
    <n v="3927.7220000000002"/>
    <n v="958.98"/>
    <n v="5753.88"/>
    <n v="4.0957287951782106"/>
    <n v="0.68262146586303507"/>
    <s v="The net upward revision of 493.0 Bcfe was primarily due to (i) an upward performance revision of 492.1 Bcfe, primarily in the Dimock field in northeast Pennsylvania and (ii) an upward revision of 0.9 Bcfe associated with commodity pricing."/>
    <n v="494.85"/>
    <n v="0"/>
    <n v="82.59"/>
    <n v="82.59"/>
    <n v="0"/>
    <n v="77.028999999999996"/>
    <n v="77.028999999999996"/>
    <n v="0"/>
    <n v="47.012"/>
    <n v="47.012"/>
    <n v="0"/>
    <n v="63.305266666666668"/>
    <n v="63.305266666666668"/>
    <n v="1904.5140000000001"/>
    <n v="1904.5140000000001"/>
    <n v="1"/>
    <n v="764.78626666666673"/>
    <n v="8.6292045749446196"/>
    <n v="1.43820076249077"/>
    <m/>
    <n v="2536.5192666666671"/>
    <n v="253.65192666666672"/>
    <n v="0.14316599999360327"/>
    <n v="2.8619948624018843"/>
    <n v="0.47699914373364738"/>
    <n v="19.99074404907422"/>
    <n v="3.3317906748457036"/>
    <n v="12.72493337012283"/>
    <n v="15.586928232524714"/>
    <n v="32.71567741919705"/>
    <n v="2.1208222283538052"/>
    <n v="2.5978213720874526"/>
    <n v="5.4526129031995083"/>
    <n v="4"/>
    <n v="1.2724933370122831"/>
    <n v="112.77811530827896"/>
    <n v="6.3654125823856614E-2"/>
    <n v="10.557"/>
    <m/>
    <m/>
    <n v="433.09200000000004"/>
    <n v="115.8"/>
    <n v="3.74"/>
    <n v="437.62099999999998"/>
    <n v="121.9"/>
    <n v="3.59"/>
    <n v="348.42500000000001"/>
    <n v="126.7"/>
    <n v="2.75"/>
    <n v="370.90199999999987"/>
    <n v="143.59999999999997"/>
    <n v="2.5828830083565455"/>
    <n v="1590.04"/>
    <n v="508"/>
    <n v="3.13"/>
    <n v="59.143999999999998"/>
    <n v="0.60499181669394431"/>
    <n v="97.76"/>
    <n v="86.340999999999994"/>
    <n v="0.86897141706924308"/>
    <n v="99.36"/>
    <n v="82.563000000000002"/>
    <n v="0.87202154626108996"/>
    <n v="94.68"/>
    <n v="85.841000000000008"/>
    <n v="1.2420152199757228"/>
    <n v="69.114289921244207"/>
    <n v="313.88900000000001"/>
    <n v="3.5880000000000001"/>
    <n v="87.48"/>
    <m/>
    <m/>
    <m/>
    <m/>
    <m/>
    <m/>
    <m/>
    <m/>
    <m/>
    <m/>
    <m/>
    <m/>
    <m/>
    <m/>
    <m/>
    <n v="93.17"/>
    <n v="4.37"/>
    <n v="9.56"/>
    <n v="5.21"/>
    <n v="4.6100000000000003"/>
    <n v="3.96"/>
    <n v="3.8"/>
    <n v="11.19"/>
    <n v="10.15"/>
    <n v="9.83"/>
    <n v="7.41"/>
    <n v="98.68"/>
    <n v="103.35"/>
    <n v="97.87"/>
    <n v="73.209999999999994"/>
  </r>
  <r>
    <x v="2"/>
    <s v="COG"/>
    <x v="8"/>
    <n v="566"/>
    <n v="6.0960000000000001"/>
    <n v="0"/>
    <n v="100.42933333333333"/>
    <n v="602.57600000000002"/>
    <n v="0"/>
    <n v="0"/>
    <n v="0"/>
    <n v="0"/>
    <n v="0"/>
    <n v="100.42933333333333"/>
    <n v="602.57600000000002"/>
    <n v="1"/>
    <n v="0.93930060274554572"/>
    <n v="6.069939725445421E-2"/>
    <n v="0"/>
    <n v="30.143999999999998"/>
    <n v="0"/>
    <n v="3180"/>
    <n v="3360.864"/>
    <n v="462.37400000000025"/>
    <n v="560.14400000000001"/>
    <n v="77.062333333333299"/>
    <n v="0.15952237199369318"/>
    <m/>
    <n v="444"/>
    <n v="896"/>
    <n v="0"/>
    <n v="0"/>
    <n v="1340"/>
    <n v="-3.008"/>
    <n v="11.510999999999999"/>
    <n v="0.187"/>
    <n v="0"/>
    <n v="8.69"/>
    <n v="0"/>
    <n v="0"/>
    <n v="0"/>
    <n v="0"/>
    <n v="0"/>
    <n v="1392.14"/>
    <n v="232.02333333333334"/>
    <n v="20.097000000000001"/>
    <n v="16.312000000000001"/>
    <n v="34.003"/>
    <n v="723.45100000000002"/>
    <n v="793.86300000000006"/>
    <n v="3751.701"/>
    <n v="1005.143"/>
    <n v="6030.8580000000002"/>
    <n v="3.7325047281829549"/>
    <n v="0.62208412136382585"/>
    <m/>
    <n v="568.40200000000004"/>
    <n v="0"/>
    <n v="69.444000000000003"/>
    <n v="69.444000000000003"/>
    <n v="0"/>
    <n v="7.55"/>
    <n v="7.55"/>
    <n v="0"/>
    <n v="42.808999999999997"/>
    <n v="42.808999999999997"/>
    <n v="0"/>
    <n v="85.296600000000012"/>
    <n v="85.296600000000012"/>
    <n v="1273.2550000000001"/>
    <n v="1273.2550000000001"/>
    <n v="1"/>
    <n v="773.50160000000005"/>
    <n v="7.7019489657736129"/>
    <n v="1.2836581609622686"/>
    <m/>
    <n v="1567.3646000000001"/>
    <n v="156.73646000000002"/>
    <n v="0.19743514938975618"/>
    <n v="1.560664148588726"/>
    <n v="0.26011069143145432"/>
    <n v="7.9046925201136462"/>
    <n v="1.3174487533522743"/>
    <n v="11.434453693956568"/>
    <n v="12.995117842545294"/>
    <n v="19.339146214070215"/>
    <n v="1.9057422823260945"/>
    <n v="2.1658529737575489"/>
    <n v="3.2231910356783686"/>
    <n v="4"/>
    <n v="1.1434453693956568"/>
    <n v="114.83545615149288"/>
    <n v="0.14465399716511901"/>
    <n v="0"/>
    <m/>
    <n v="2025"/>
    <n v="360.81400000000002"/>
    <n v="161.80000000000001"/>
    <n v="2.23"/>
    <n v="224.70000000000002"/>
    <n v="128.4"/>
    <n v="1.75"/>
    <n v="223.44"/>
    <n v="133"/>
    <n v="1.68"/>
    <n v="216.08999999999997"/>
    <n v="142.79999999999995"/>
    <n v="1.5132352941176475"/>
    <n v="1025.0440000000001"/>
    <n v="566"/>
    <n v="1.81"/>
    <n v="62.574959999999997"/>
    <n v="1.4279999999999999"/>
    <n v="43.82"/>
    <n v="81.233000000000004"/>
    <n v="1.448"/>
    <n v="56.1"/>
    <n v="59.014000000000003"/>
    <n v="1.35"/>
    <n v="43.71"/>
    <n v="45.391920000000006"/>
    <n v="1.2030000000000007"/>
    <n v="37.732269326683273"/>
    <n v="248.21388000000002"/>
    <n v="5.4290000000000003"/>
    <n v="45.72"/>
    <m/>
    <m/>
    <m/>
    <m/>
    <m/>
    <m/>
    <m/>
    <m/>
    <m/>
    <m/>
    <m/>
    <m/>
    <m/>
    <m/>
    <m/>
    <n v="48.66"/>
    <n v="2.62"/>
    <n v="4.97"/>
    <n v="2.9"/>
    <n v="2.75"/>
    <n v="2.76"/>
    <n v="2.12"/>
    <n v="5.43"/>
    <n v="5.2"/>
    <n v="4.68"/>
    <n v="4.5999999999999996"/>
    <n v="48.49"/>
    <n v="57.85"/>
    <n v="46.64"/>
    <n v="41.94"/>
  </r>
  <r>
    <x v="2"/>
    <s v="COG"/>
    <x v="9"/>
    <n v="600"/>
    <n v="4.4539999999999997"/>
    <n v="0.627"/>
    <n v="105.08099999999999"/>
    <n v="630.48599999999999"/>
    <n v="0"/>
    <n v="0"/>
    <n v="0"/>
    <n v="0"/>
    <n v="0"/>
    <n v="105.08099999999999"/>
    <n v="630.48599999999999"/>
    <n v="1"/>
    <n v="0.951646824830369"/>
    <n v="4.2386349577944633E-2"/>
    <n v="5.9668255916864137E-3"/>
    <n v="28.73"/>
    <n v="0"/>
    <n v="2781"/>
    <n v="2953.38"/>
    <n v="-407.48399999999992"/>
    <n v="492.23"/>
    <n v="-67.913999999999987"/>
    <n v="-0.12124382301693848"/>
    <m/>
    <n v="405"/>
    <n v="650"/>
    <n v="0"/>
    <n v="0"/>
    <n v="1055"/>
    <n v="-5.867"/>
    <n v="5.54"/>
    <n v="0"/>
    <n v="0"/>
    <n v="-0.32699999999999996"/>
    <n v="0"/>
    <n v="0"/>
    <n v="0"/>
    <n v="0"/>
    <n v="0"/>
    <n v="1053.038"/>
    <n v="175.50633333333334"/>
    <n v="2.7029999999999998"/>
    <n v="0"/>
    <n v="27.64"/>
    <n v="359.50099999999998"/>
    <n v="389.84399999999999"/>
    <n v="2955.4400000000005"/>
    <n v="821.05200000000002"/>
    <n v="4926.3119999999999"/>
    <n v="3.5995771278798423"/>
    <n v="0.59992952131330712"/>
    <m/>
    <n v="537.23799999999994"/>
    <n v="0"/>
    <n v="87.242000000000004"/>
    <n v="87.242000000000004"/>
    <n v="0"/>
    <n v="0.68799999999999994"/>
    <n v="0.68799999999999994"/>
    <m/>
    <n v="29.222999999999999"/>
    <n v="29.222999999999999"/>
    <m/>
    <n v="55.5861011"/>
    <n v="55.5861011"/>
    <n v="1173.6959999999999"/>
    <n v="1173.6959999999999"/>
    <n v="1"/>
    <n v="709.97710109999991"/>
    <n v="6.7564745396408483"/>
    <n v="1.1260790899401414"/>
    <m/>
    <n v="1099.8211010999999"/>
    <n v="109.98211010999999"/>
    <n v="0.28211825784159816"/>
    <n v="1.0466412587432552"/>
    <n v="0.17444020979054253"/>
    <n v="3.7099380477917037"/>
    <n v="0.61832300796528394"/>
    <n v="10.35605166752069"/>
    <n v="11.402692926263946"/>
    <n v="14.065989715312394"/>
    <n v="1.7260086112534485"/>
    <n v="1.9004488210439909"/>
    <n v="2.3443316192187327"/>
    <n v="4"/>
    <n v="1.0356051667520689"/>
    <n v="108.82242652747415"/>
    <n v="0.27914352029907902"/>
    <n v="0"/>
    <m/>
    <n v="1528"/>
    <n v="228.119"/>
    <n v="153.1"/>
    <n v="1.49"/>
    <n v="223.66500000000002"/>
    <n v="144.30000000000001"/>
    <n v="1.55"/>
    <n v="259.92"/>
    <n v="144.4"/>
    <n v="1.8"/>
    <n v="310.88600000000002"/>
    <n v="158.59999999999994"/>
    <n v="1.9601891551071888"/>
    <n v="1022.59"/>
    <n v="600.4"/>
    <n v="1.7"/>
    <n v="30.691500000000001"/>
    <n v="1.1100000000000001"/>
    <n v="27.65"/>
    <n v="46.140889999999999"/>
    <n v="1.139"/>
    <n v="40.51"/>
    <n v="37.762329999999999"/>
    <n v="0.94099999999999995"/>
    <n v="40.130000000000003"/>
    <n v="36.511279999999992"/>
    <n v="1.2639999999999993"/>
    <n v="28.885506329113934"/>
    <n v="151.10599999999999"/>
    <n v="4.4539999999999997"/>
    <n v="33.925909295015714"/>
    <m/>
    <m/>
    <m/>
    <m/>
    <m/>
    <m/>
    <m/>
    <m/>
    <m/>
    <m/>
    <m/>
    <m/>
    <m/>
    <m/>
    <m/>
    <n v="43.2"/>
    <n v="2.52"/>
    <n v="5.04"/>
    <n v="1.99"/>
    <n v="2.15"/>
    <n v="2.88"/>
    <n v="3.04"/>
    <n v="4.0199999999999996"/>
    <n v="5"/>
    <n v="5.04"/>
    <n v="6.05"/>
    <n v="33.35"/>
    <n v="45.46"/>
    <n v="44.85"/>
    <n v="49.14"/>
  </r>
  <r>
    <x v="3"/>
    <s v="CHK"/>
    <x v="0"/>
    <n v="655"/>
    <n v="9.9"/>
    <n v="0"/>
    <n v="119.06666666666668"/>
    <n v="714.4"/>
    <n v="0"/>
    <n v="0"/>
    <n v="0"/>
    <n v="0"/>
    <n v="0"/>
    <n v="119.06666666666668"/>
    <n v="714.4"/>
    <n v="1"/>
    <n v="0.91685330347144456"/>
    <n v="8.3146696528555428E-2"/>
    <n v="0"/>
    <n v="34.72"/>
    <n v="0"/>
    <n v="3728.6770000000001"/>
    <n v="3936.9970000000003"/>
    <m/>
    <n v="656.16616666666675"/>
    <m/>
    <m/>
    <m/>
    <n v="1299"/>
    <n v="1053"/>
    <n v="329"/>
    <n v="0"/>
    <n v="2681"/>
    <n v="7.7"/>
    <n v="11.7"/>
    <n v="8.1"/>
    <n v="0"/>
    <n v="27.5"/>
    <n v="0"/>
    <n v="0"/>
    <n v="0"/>
    <n v="0"/>
    <n v="0"/>
    <n v="2846"/>
    <n v="474.33333333333331"/>
    <n v="2638"/>
    <n v="671"/>
    <n v="996"/>
    <n v="4402"/>
    <n v="8707"/>
    <m/>
    <m/>
    <m/>
    <m/>
    <m/>
    <s v="Costs &amp; Adds include oil; Sales excluded; Costs exclude asset retirement obligations"/>
    <m/>
    <m/>
    <m/>
    <m/>
    <m/>
    <m/>
    <m/>
    <m/>
    <m/>
    <m/>
    <m/>
    <m/>
    <m/>
    <n v="0"/>
    <n v="0"/>
    <m/>
    <m/>
    <m/>
    <m/>
    <m/>
    <m/>
    <m/>
    <m/>
    <m/>
    <m/>
    <m/>
    <m/>
    <m/>
    <m/>
    <m/>
    <m/>
    <m/>
    <m/>
    <n v="4"/>
    <m/>
    <m/>
    <m/>
    <m/>
    <m/>
    <m/>
    <m/>
    <m/>
    <m/>
    <m/>
    <m/>
    <m/>
    <m/>
    <m/>
    <m/>
    <m/>
    <m/>
    <m/>
    <m/>
    <m/>
    <m/>
    <m/>
    <m/>
    <m/>
    <m/>
    <m/>
    <m/>
    <m/>
    <m/>
    <m/>
    <m/>
    <m/>
    <m/>
    <m/>
    <m/>
    <m/>
    <m/>
    <m/>
    <m/>
    <m/>
    <m/>
    <m/>
    <m/>
    <m/>
    <m/>
    <m/>
    <m/>
    <m/>
    <m/>
    <m/>
    <m/>
    <n v="72.34"/>
    <n v="6.97"/>
    <n v="12.91"/>
    <m/>
    <m/>
    <m/>
    <m/>
    <m/>
    <m/>
    <m/>
    <m/>
    <m/>
    <m/>
    <m/>
    <m/>
  </r>
  <r>
    <x v="3"/>
    <s v="CHK"/>
    <x v="1"/>
    <n v="775"/>
    <n v="11.2"/>
    <n v="0"/>
    <n v="140.36666666666665"/>
    <n v="842.2"/>
    <n v="0"/>
    <n v="0"/>
    <n v="0"/>
    <n v="0"/>
    <n v="0"/>
    <n v="140.36666666666665"/>
    <n v="842.2"/>
    <n v="1"/>
    <n v="0.92020897649014477"/>
    <n v="7.9791023509855147E-2"/>
    <n v="0"/>
    <n v="35.719000000000001"/>
    <n v="0"/>
    <n v="3745.9319999999998"/>
    <n v="3960.2459999999996"/>
    <n v="23.248999999999342"/>
    <n v="660.04100000000005"/>
    <n v="3.8748333333332994"/>
    <n v="5.9052623103344488E-3"/>
    <m/>
    <n v="957"/>
    <n v="1526"/>
    <n v="156"/>
    <n v="0"/>
    <n v="2639"/>
    <n v="-1.2"/>
    <n v="11.5"/>
    <n v="2.5"/>
    <n v="0"/>
    <n v="12.8"/>
    <n v="0"/>
    <n v="0"/>
    <n v="0"/>
    <n v="0"/>
    <n v="0"/>
    <n v="2715.8"/>
    <n v="452.63333333333333"/>
    <n v="8263"/>
    <n v="355"/>
    <n v="926"/>
    <n v="5185"/>
    <n v="14729"/>
    <m/>
    <m/>
    <m/>
    <m/>
    <m/>
    <s v="Costs &amp; Adds include oil; Sales excluded; Costs exclude asset retirement obligations"/>
    <m/>
    <m/>
    <m/>
    <m/>
    <m/>
    <m/>
    <m/>
    <m/>
    <m/>
    <m/>
    <m/>
    <m/>
    <m/>
    <n v="0"/>
    <n v="0"/>
    <m/>
    <m/>
    <m/>
    <m/>
    <m/>
    <m/>
    <m/>
    <m/>
    <m/>
    <m/>
    <m/>
    <m/>
    <m/>
    <m/>
    <m/>
    <m/>
    <m/>
    <m/>
    <n v="4"/>
    <m/>
    <m/>
    <m/>
    <m/>
    <m/>
    <m/>
    <m/>
    <m/>
    <m/>
    <m/>
    <m/>
    <m/>
    <m/>
    <m/>
    <m/>
    <m/>
    <m/>
    <m/>
    <m/>
    <m/>
    <m/>
    <m/>
    <m/>
    <m/>
    <m/>
    <m/>
    <m/>
    <m/>
    <m/>
    <m/>
    <m/>
    <m/>
    <m/>
    <m/>
    <m/>
    <m/>
    <m/>
    <m/>
    <m/>
    <m/>
    <m/>
    <m/>
    <m/>
    <m/>
    <m/>
    <m/>
    <m/>
    <m/>
    <m/>
    <m/>
    <m/>
    <n v="99.67"/>
    <n v="8.86"/>
    <n v="15.2"/>
    <m/>
    <m/>
    <m/>
    <m/>
    <m/>
    <m/>
    <m/>
    <m/>
    <m/>
    <m/>
    <m/>
    <m/>
  </r>
  <r>
    <x v="3"/>
    <s v="CHK"/>
    <x v="2"/>
    <n v="835"/>
    <n v="11.8"/>
    <n v="0"/>
    <n v="150.96666666666667"/>
    <n v="905.8"/>
    <n v="0"/>
    <n v="0"/>
    <n v="0"/>
    <n v="0"/>
    <n v="0"/>
    <n v="150.96666666666667"/>
    <n v="905.8"/>
    <n v="1"/>
    <n v="0.92183705012143968"/>
    <n v="7.8162949878560387E-2"/>
    <n v="0"/>
    <n v="45.2"/>
    <n v="0"/>
    <n v="5651"/>
    <n v="5922.2"/>
    <n v="1961.9540000000002"/>
    <n v="987.03333333333342"/>
    <n v="326.99233333333336"/>
    <n v="0.49541215368944252"/>
    <m/>
    <n v="-1335"/>
    <n v="4530"/>
    <n v="32"/>
    <n v="0"/>
    <n v="3227"/>
    <n v="-10.3"/>
    <n v="27.1"/>
    <n v="0.2"/>
    <n v="0"/>
    <n v="17"/>
    <n v="0"/>
    <n v="0"/>
    <n v="0"/>
    <n v="0"/>
    <n v="0"/>
    <n v="3329"/>
    <n v="554.83333333333337"/>
    <n v="2793"/>
    <n v="61"/>
    <n v="813"/>
    <n v="2729"/>
    <n v="6396"/>
    <n v="29832"/>
    <n v="1481.8000000000002"/>
    <n v="8890.7999999999993"/>
    <n v="20.13227156161425"/>
    <n v="3.3553785936023757"/>
    <s v="Costs &amp; Adds include oil; Sales excluded; Costs exclude asset retirement obligations"/>
    <n v="1058"/>
    <n v="349"/>
    <n v="0"/>
    <n v="228.78486107504543"/>
    <n v="7"/>
    <n v="0"/>
    <n v="4.5888081017917424"/>
    <n v="0"/>
    <n v="107"/>
    <n v="107"/>
    <n v="825"/>
    <n v="0"/>
    <n v="540.82381199688393"/>
    <n v="5049"/>
    <n v="7702"/>
    <n v="0.65554401454167743"/>
    <n v="1939.1974811737211"/>
    <n v="12.845203010645095"/>
    <n v="2.1408671684408493"/>
    <s v="Net Operating loss"/>
    <n v="8335.1974811737218"/>
    <n v="833.51974811737227"/>
    <n v="0.13031890996206572"/>
    <n v="5.5212171436346145"/>
    <n v="0.92020285727243578"/>
    <n v="42.366968425701039"/>
    <n v="7.0611614042835065"/>
    <n v="32.977474572259347"/>
    <n v="38.498691715893962"/>
    <n v="75.344442997960385"/>
    <n v="5.496245762043225"/>
    <n v="6.4164486193156609"/>
    <n v="12.557407166326731"/>
    <n v="4"/>
    <n v="3.2977474572259347"/>
    <n v="497.84994112587526"/>
    <n v="7.7837701864583372E-2"/>
    <m/>
    <n v="10005"/>
    <m/>
    <m/>
    <m/>
    <m/>
    <m/>
    <m/>
    <m/>
    <m/>
    <m/>
    <m/>
    <m/>
    <m/>
    <m/>
    <m/>
    <m/>
    <m/>
    <m/>
    <m/>
    <m/>
    <m/>
    <m/>
    <m/>
    <m/>
    <m/>
    <m/>
    <m/>
    <m/>
    <m/>
    <m/>
    <m/>
    <m/>
    <m/>
    <m/>
    <m/>
    <m/>
    <m/>
    <m/>
    <m/>
    <m/>
    <m/>
    <m/>
    <m/>
    <m/>
    <m/>
    <m/>
    <m/>
    <n v="61.95"/>
    <n v="3.94"/>
    <n v="8.99"/>
    <m/>
    <m/>
    <m/>
    <m/>
    <m/>
    <m/>
    <m/>
    <m/>
    <m/>
    <m/>
    <m/>
    <m/>
  </r>
  <r>
    <x v="3"/>
    <s v="CHK"/>
    <x v="3"/>
    <n v="925"/>
    <n v="10.9"/>
    <n v="7.5"/>
    <n v="172.56666666666666"/>
    <n v="1035.4000000000001"/>
    <n v="0"/>
    <n v="0"/>
    <n v="0"/>
    <n v="0"/>
    <n v="0"/>
    <n v="172.56666666666666"/>
    <n v="1035.4000000000001"/>
    <n v="1"/>
    <n v="0.89337454124010041"/>
    <n v="6.3163994591462241E-2"/>
    <n v="4.3461464168437318E-2"/>
    <n v="65.900000000000006"/>
    <n v="59.3"/>
    <n v="7209"/>
    <n v="7960.2"/>
    <n v="2038"/>
    <n v="1326.7"/>
    <n v="339.66666666666663"/>
    <n v="0.3441288710276586"/>
    <m/>
    <n v="-445"/>
    <n v="4678"/>
    <n v="63"/>
    <n v="0"/>
    <n v="4296"/>
    <n v="-3.6"/>
    <n v="47.6"/>
    <n v="4.2"/>
    <n v="0"/>
    <n v="48.2"/>
    <n v="108.3"/>
    <n v="22.3"/>
    <n v="0.2"/>
    <n v="0"/>
    <n v="130.79999999999998"/>
    <n v="5370"/>
    <n v="895"/>
    <n v="6953"/>
    <n v="243"/>
    <n v="872"/>
    <n v="4741"/>
    <n v="12809"/>
    <n v="33934"/>
    <n v="1902.4666666666667"/>
    <n v="11414.8"/>
    <n v="17.836843396292533"/>
    <n v="2.9728072327154225"/>
    <s v="Costs &amp; Adds include oil; Sales excluded; Costs exclude asset retirement obligations"/>
    <n v="1101"/>
    <n v="453"/>
    <n v="0"/>
    <n v="273.12524023062139"/>
    <n v="-291"/>
    <n v="0"/>
    <n v="-175.45131326073027"/>
    <n v="0"/>
    <n v="157"/>
    <n v="157"/>
    <n v="779"/>
    <n v="0"/>
    <n v="469.67894512064913"/>
    <n v="5647"/>
    <n v="9366"/>
    <n v="0.60292547512278449"/>
    <n v="1825.3528720905401"/>
    <n v="10.577667792682288"/>
    <n v="1.7629446321137145"/>
    <s v="Net Operating loss"/>
    <n v="14634.35287209054"/>
    <n v="1463.435287209054"/>
    <n v="0.11425054939566351"/>
    <n v="8.480405373048411"/>
    <n v="1.4134008955080681"/>
    <n v="74.226385937801822"/>
    <n v="12.371064322966967"/>
    <n v="28.414511188974821"/>
    <n v="36.894916562023234"/>
    <n v="102.64089712677665"/>
    <n v="4.7357518648291368"/>
    <n v="6.1491527603372047"/>
    <n v="17.106816187796106"/>
    <n v="4"/>
    <n v="2.8414511188974823"/>
    <n v="490.33974808440882"/>
    <n v="3.8280876577750707E-2"/>
    <m/>
    <n v="14469"/>
    <m/>
    <m/>
    <m/>
    <m/>
    <m/>
    <m/>
    <m/>
    <m/>
    <m/>
    <m/>
    <m/>
    <m/>
    <m/>
    <m/>
    <m/>
    <m/>
    <m/>
    <m/>
    <m/>
    <m/>
    <m/>
    <m/>
    <m/>
    <m/>
    <m/>
    <m/>
    <m/>
    <m/>
    <m/>
    <m/>
    <m/>
    <m/>
    <m/>
    <m/>
    <m/>
    <m/>
    <m/>
    <m/>
    <m/>
    <m/>
    <m/>
    <m/>
    <m/>
    <m/>
    <m/>
    <m/>
    <n v="79.48"/>
    <n v="4.37"/>
    <n v="11.83"/>
    <m/>
    <m/>
    <m/>
    <m/>
    <m/>
    <m/>
    <m/>
    <m/>
    <m/>
    <m/>
    <m/>
    <m/>
  </r>
  <r>
    <x v="3"/>
    <s v="CHK"/>
    <x v="4"/>
    <n v="1004"/>
    <n v="17"/>
    <n v="14.7"/>
    <n v="199.03333333333333"/>
    <n v="1194.2"/>
    <n v="0"/>
    <n v="0"/>
    <n v="0"/>
    <n v="0"/>
    <n v="0"/>
    <n v="199.03333333333333"/>
    <n v="1194.2"/>
    <n v="1"/>
    <n v="0.84073019594707754"/>
    <n v="8.5412828671914257E-2"/>
    <n v="7.3856975381008202E-2"/>
    <n v="167.6"/>
    <n v="123.3"/>
    <n v="6937"/>
    <n v="8682.4"/>
    <n v="722.19999999999982"/>
    <n v="1447.0666666666666"/>
    <n v="120.36666666666656"/>
    <n v="9.0726363659204459E-2"/>
    <m/>
    <n v="-361"/>
    <n v="4156"/>
    <n v="23"/>
    <n v="0"/>
    <n v="3818"/>
    <n v="-7.8"/>
    <n v="168.4"/>
    <n v="0.5"/>
    <n v="0"/>
    <n v="161.1"/>
    <n v="60.6"/>
    <n v="85.2"/>
    <n v="0.7"/>
    <n v="0"/>
    <n v="146.5"/>
    <n v="5663.6"/>
    <n v="943.93333333333339"/>
    <n v="4736"/>
    <n v="48"/>
    <n v="2261"/>
    <n v="4767"/>
    <n v="11812"/>
    <n v="31017"/>
    <n v="2393.7666666666669"/>
    <n v="14362.6"/>
    <n v="12.95740325567794"/>
    <n v="2.1595672092796567"/>
    <s v="Costs &amp; Adds include oil; Sales excluded; Costs exclude asset retirement obligations"/>
    <n v="1475"/>
    <n v="548"/>
    <n v="0"/>
    <n v="283.72599914052427"/>
    <n v="-25"/>
    <n v="0"/>
    <n v="-12.943704340352385"/>
    <n v="0"/>
    <n v="192"/>
    <n v="192"/>
    <n v="723"/>
    <n v="0"/>
    <n v="374.331929522991"/>
    <n v="6024"/>
    <n v="11635"/>
    <n v="0.51774817361409542"/>
    <n v="2312.1142243231629"/>
    <n v="11.616718594824132"/>
    <n v="1.9361197658040219"/>
    <s v="Net Operating losses carryforwards of 3.1 billion at 12/31/11 will expire 2019-2031"/>
    <n v="14124.114224323162"/>
    <n v="1412.4114224323164"/>
    <n v="0.11957428229193331"/>
    <n v="7.0963561669685973"/>
    <n v="1.1827260278280993"/>
    <n v="59.34684307486183"/>
    <n v="9.8911405124769711"/>
    <n v="24.574121850502074"/>
    <n v="31.670478017470671"/>
    <n v="83.920964925363904"/>
    <n v="4.0956869750836784"/>
    <n v="5.278413002911778"/>
    <n v="13.98682748756065"/>
    <n v="4"/>
    <n v="2.4574121850502073"/>
    <n v="489.10693856449291"/>
    <n v="4.1407631100956056E-2"/>
    <m/>
    <n v="16685"/>
    <m/>
    <m/>
    <m/>
    <m/>
    <m/>
    <m/>
    <m/>
    <m/>
    <m/>
    <m/>
    <m/>
    <m/>
    <m/>
    <m/>
    <m/>
    <m/>
    <m/>
    <m/>
    <m/>
    <m/>
    <m/>
    <m/>
    <m/>
    <m/>
    <m/>
    <m/>
    <m/>
    <m/>
    <m/>
    <m/>
    <m/>
    <m/>
    <m/>
    <m/>
    <m/>
    <m/>
    <m/>
    <m/>
    <m/>
    <m/>
    <m/>
    <m/>
    <m/>
    <m/>
    <m/>
    <m/>
    <n v="94.88"/>
    <n v="4"/>
    <n v="15.12"/>
    <m/>
    <m/>
    <m/>
    <m/>
    <m/>
    <m/>
    <m/>
    <m/>
    <m/>
    <m/>
    <m/>
    <m/>
  </r>
  <r>
    <x v="3"/>
    <s v="CHK"/>
    <x v="5"/>
    <n v="1129"/>
    <n v="31.3"/>
    <n v="17.600000000000001"/>
    <n v="237.06666666666666"/>
    <n v="1422.3999999999999"/>
    <n v="0"/>
    <n v="0"/>
    <n v="0"/>
    <n v="0"/>
    <n v="0"/>
    <n v="237.06666666666666"/>
    <n v="1422.3999999999999"/>
    <n v="1"/>
    <n v="0.79372890888638925"/>
    <n v="0.13203037120359956"/>
    <n v="7.4240719910011257E-2"/>
    <n v="332.6"/>
    <n v="165.2"/>
    <n v="3759"/>
    <n v="6745.8"/>
    <n v="-1936.5999999999995"/>
    <n v="1124.3"/>
    <n v="-322.76666666666665"/>
    <n v="-0.22304892656408365"/>
    <m/>
    <n v="-6080"/>
    <n v="3317"/>
    <n v="14"/>
    <n v="0"/>
    <n v="-2749"/>
    <n v="-67.5"/>
    <n v="374"/>
    <n v="4.2"/>
    <n v="0"/>
    <n v="310.7"/>
    <n v="-47.3"/>
    <n v="139.4"/>
    <n v="0.6"/>
    <n v="0"/>
    <n v="92.7"/>
    <n v="-328.60000000000014"/>
    <n v="-54.766666666666694"/>
    <n v="2981"/>
    <n v="332"/>
    <n v="2353"/>
    <n v="5725"/>
    <n v="11391"/>
    <n v="36012"/>
    <n v="1784.1666666666667"/>
    <n v="10705"/>
    <n v="20.18421298458664"/>
    <n v="3.3640354974311069"/>
    <s v="Costs &amp; Adds include oil; Sales excluded; Costs exclude asset retirement obligations"/>
    <n v="1769"/>
    <n v="535"/>
    <n v="0"/>
    <n v="272.71273140630075"/>
    <n v="44"/>
    <n v="0"/>
    <n v="22.428710620331277"/>
    <n v="0"/>
    <n v="188"/>
    <n v="188"/>
    <n v="802"/>
    <n v="0"/>
    <n v="408.81422539785643"/>
    <n v="6278"/>
    <n v="12316"/>
    <n v="0.50974342318934718"/>
    <n v="2660.9556674244886"/>
    <n v="11.224503658989688"/>
    <n v="1.8707506098316149"/>
    <m/>
    <n v="14051.955667424489"/>
    <n v="1405.195566742449"/>
    <n v="0.12336015861139926"/>
    <n v="5.9274278687111179"/>
    <n v="0.98790464478518647"/>
    <n v="48.049775028121488"/>
    <n v="8.0082958380202474"/>
    <n v="31.408716643576327"/>
    <n v="37.336144512287447"/>
    <n v="79.458491671697814"/>
    <n v="5.234786107262722"/>
    <n v="6.2226907520479084"/>
    <n v="13.24308194528297"/>
    <n v="4"/>
    <n v="3.1408716643576327"/>
    <n v="744.59597589704947"/>
    <n v="6.5367042041703932E-2"/>
    <m/>
    <n v="14755"/>
    <m/>
    <n v="489"/>
    <n v="208.08510638297872"/>
    <n v="2.35"/>
    <n v="354"/>
    <n v="188.29787234042556"/>
    <n v="1.88"/>
    <n v="505"/>
    <n v="256.34517766497464"/>
    <n v="1.97"/>
    <n v="653"/>
    <n v="313.93851027828788"/>
    <n v="2.0800251597714285"/>
    <n v="2001"/>
    <n v="966.66666666666674"/>
    <n v="2.0699999999999998"/>
    <n v="555.78"/>
    <n v="6"/>
    <n v="92.63"/>
    <n v="668.53399999999999"/>
    <n v="7.3"/>
    <n v="91.58"/>
    <n v="817.11"/>
    <n v="9"/>
    <n v="90.79"/>
    <n v="802.51599999999985"/>
    <n v="8.6999999999999993"/>
    <n v="92.243218390804586"/>
    <n v="2843.94"/>
    <n v="31"/>
    <n v="91.74"/>
    <n v="144.47999999999999"/>
    <n v="4.3"/>
    <n v="33.6"/>
    <n v="116.73"/>
    <n v="4.5"/>
    <n v="25.94"/>
    <n v="128.00199999999998"/>
    <n v="4.0999999999999996"/>
    <n v="31.22"/>
    <n v="139.44800000000001"/>
    <n v="5.1000000000000005"/>
    <n v="27.342745098039213"/>
    <n v="528.66"/>
    <n v="18"/>
    <n v="29.37"/>
    <n v="94.05"/>
    <n v="2.75"/>
    <n v="10.98"/>
    <n v="2.41"/>
    <n v="2.2799999999999998"/>
    <n v="2.88"/>
    <n v="3.4"/>
    <n v="13.14"/>
    <n v="10.75"/>
    <n v="9.9600000000000009"/>
    <n v="10.08"/>
    <n v="102.98"/>
    <n v="93.29"/>
    <n v="92.17"/>
    <n v="88.01"/>
  </r>
  <r>
    <x v="3"/>
    <s v="CHK"/>
    <x v="6"/>
    <n v="1095"/>
    <n v="41.1"/>
    <n v="20.9"/>
    <n v="244.5"/>
    <n v="1467"/>
    <n v="0"/>
    <n v="0"/>
    <n v="0"/>
    <n v="0"/>
    <n v="0"/>
    <n v="244.5"/>
    <n v="1467"/>
    <n v="1"/>
    <n v="0.74642126789366048"/>
    <n v="0.16809815950920245"/>
    <n v="8.5480572597137011E-2"/>
    <n v="222.5"/>
    <n v="121.9"/>
    <n v="3150"/>
    <n v="5216.3999999999996"/>
    <n v="-1529.4000000000005"/>
    <n v="869.4"/>
    <n v="-254.89999999999998"/>
    <n v="-0.22671884728275371"/>
    <m/>
    <n v="388"/>
    <n v="2160"/>
    <n v="5"/>
    <n v="0"/>
    <n v="2553"/>
    <n v="-61.1"/>
    <n v="96.3"/>
    <n v="0.6"/>
    <n v="0"/>
    <n v="35.799999999999997"/>
    <n v="-32.9"/>
    <n v="524"/>
    <n v="2"/>
    <n v="0"/>
    <n v="493.1"/>
    <n v="5726.4000000000005"/>
    <n v="954.40000000000009"/>
    <n v="997"/>
    <n v="22"/>
    <n v="699"/>
    <n v="4066"/>
    <n v="5784"/>
    <n v="28987"/>
    <n v="1843.5666666666668"/>
    <n v="11061.400000000001"/>
    <n v="15.72332616124541"/>
    <n v="2.6205543602075685"/>
    <s v="Costs &amp; Adds include oil; Sales excluded; Costs exclude asset retirement obligations"/>
    <n v="2733"/>
    <n v="457"/>
    <n v="0"/>
    <n v="206.608071278826"/>
    <n v="26"/>
    <n v="0"/>
    <n v="11.754507337526205"/>
    <n v="0"/>
    <n v="229"/>
    <n v="229"/>
    <n v="894"/>
    <n v="0"/>
    <n v="404.17421383647797"/>
    <n v="8626"/>
    <n v="19080"/>
    <n v="0.4520964360587002"/>
    <n v="3584.53679245283"/>
    <n v="14.660682177721187"/>
    <n v="2.4434470296201978"/>
    <m/>
    <n v="9368.5367924528291"/>
    <n v="936.85367924528293"/>
    <n v="0.1619733193715911"/>
    <n v="3.8317123895512593"/>
    <n v="0.63861873159187654"/>
    <n v="23.656441717791409"/>
    <n v="3.9427402862985685"/>
    <n v="30.384008338966595"/>
    <n v="34.215720728517852"/>
    <n v="54.040450056758004"/>
    <n v="5.0640013898277658"/>
    <n v="5.7026201214196419"/>
    <n v="9.0067416761263352"/>
    <n v="4"/>
    <n v="3.0384008338966595"/>
    <n v="742.88900388773322"/>
    <n v="0.12843862446191792"/>
    <m/>
    <n v="12013"/>
    <m/>
    <n v="303"/>
    <n v="142.25352112676057"/>
    <n v="2.13"/>
    <n v="1073"/>
    <n v="409.5419847328244"/>
    <n v="2.62"/>
    <n v="624"/>
    <n v="276.10619469026551"/>
    <n v="2.2599999999999998"/>
    <n v="387"/>
    <n v="242.50188689409572"/>
    <n v="1.5958638712325106"/>
    <n v="2387"/>
    <n v="1070.4035874439462"/>
    <n v="2.23"/>
    <n v="882.10500000000002"/>
    <n v="9.3000000000000007"/>
    <n v="94.85"/>
    <n v="985.005"/>
    <n v="10.5"/>
    <n v="93.81"/>
    <n v="1012.99"/>
    <n v="11"/>
    <n v="92.09"/>
    <n v="979.63999999999987"/>
    <n v="10.199999999999999"/>
    <n v="96.04313725490195"/>
    <n v="3859.7400000000002"/>
    <n v="41"/>
    <n v="94.14"/>
    <n v="138.42500000000001"/>
    <n v="4.9000000000000004"/>
    <n v="28.25"/>
    <n v="116.25599999999999"/>
    <n v="4.8"/>
    <n v="24.22"/>
    <n v="143.208"/>
    <n v="5.4"/>
    <n v="26.52"/>
    <n v="187.38100000000003"/>
    <n v="5.9"/>
    <n v="31.75949152542373"/>
    <n v="585.27"/>
    <n v="21"/>
    <n v="27.87"/>
    <n v="97.98"/>
    <n v="3.73"/>
    <n v="9.94"/>
    <n v="3.49"/>
    <n v="4.01"/>
    <n v="3.56"/>
    <n v="3.85"/>
    <n v="9.77"/>
    <n v="9.39"/>
    <n v="10.01"/>
    <n v="10.53"/>
    <n v="94.33"/>
    <n v="94.05"/>
    <n v="105.83"/>
    <n v="97.44"/>
  </r>
  <r>
    <x v="3"/>
    <s v="CHK"/>
    <x v="7"/>
    <n v="1095"/>
    <n v="42.3"/>
    <n v="33.1"/>
    <n v="257.90000000000003"/>
    <n v="1547.4"/>
    <n v="0"/>
    <n v="0"/>
    <n v="0"/>
    <n v="0"/>
    <n v="0"/>
    <n v="257.90000000000003"/>
    <n v="1547.4"/>
    <n v="1"/>
    <n v="0.70763861962000774"/>
    <n v="0.1640170608763086"/>
    <n v="0.12834431950368358"/>
    <n v="191.5"/>
    <n v="67.8"/>
    <n v="2077"/>
    <n v="3632.8"/>
    <n v="-1583.5999999999995"/>
    <n v="605.4666666666667"/>
    <n v="-263.93333333333328"/>
    <n v="-0.30358101372594121"/>
    <m/>
    <n v="-129"/>
    <n v="1567"/>
    <n v="36"/>
    <n v="0"/>
    <n v="1474"/>
    <n v="-51.1"/>
    <n v="108.6"/>
    <n v="5.0999999999999996"/>
    <n v="0"/>
    <n v="62.599999999999994"/>
    <n v="21.3"/>
    <n v="78.2"/>
    <n v="2.6"/>
    <n v="0"/>
    <n v="102.1"/>
    <n v="2462.1999999999998"/>
    <n v="410.36666666666667"/>
    <n v="1224"/>
    <n v="214"/>
    <n v="421"/>
    <n v="3561"/>
    <n v="5420"/>
    <n v="22595"/>
    <n v="1310"/>
    <n v="7860"/>
    <n v="17.248091603053435"/>
    <n v="2.8746819338422394"/>
    <m/>
    <n v="3382"/>
    <n v="322"/>
    <n v="0"/>
    <n v="144.17245405405404"/>
    <n v="10"/>
    <n v="0"/>
    <n v="4.4774054054054053"/>
    <n v="0"/>
    <n v="232"/>
    <n v="232"/>
    <n v="768"/>
    <n v="0"/>
    <n v="343.86473513513511"/>
    <n v="10354"/>
    <n v="23125"/>
    <n v="0.44774054054054052"/>
    <n v="4106.5145945945942"/>
    <n v="15.922894899552515"/>
    <n v="2.6538158165920862"/>
    <m/>
    <n v="9526.5145945945951"/>
    <n v="952.6514594594596"/>
    <n v="0.17576595192978958"/>
    <n v="3.6938792534294667"/>
    <n v="0.61564654223824455"/>
    <n v="21.015897634742146"/>
    <n v="3.5026496057903578"/>
    <n v="33.170986502605949"/>
    <n v="36.864865756035414"/>
    <n v="54.186884137348095"/>
    <n v="5.528497750434326"/>
    <n v="6.1441442926725705"/>
    <n v="9.0311473562246842"/>
    <n v="4"/>
    <n v="3.3170986502605948"/>
    <n v="855.47974190220748"/>
    <n v="0.15783759075686485"/>
    <m/>
    <n v="9788"/>
    <m/>
    <n v="850.2"/>
    <n v="260"/>
    <n v="3.27"/>
    <n v="664.68500000000006"/>
    <n v="271.3"/>
    <n v="2.4500000000000002"/>
    <n v="589.38"/>
    <n v="282"/>
    <n v="2.09"/>
    <n v="479.9349999999996"/>
    <n v="281.70000000000005"/>
    <n v="1.7037096201632926"/>
    <n v="2584.1999999999998"/>
    <n v="1095"/>
    <n v="2.36"/>
    <n v="842.29200000000003"/>
    <n v="9.9"/>
    <n v="85.08"/>
    <n v="877.86900000000014"/>
    <n v="10.3"/>
    <n v="85.23"/>
    <n v="924.42900000000009"/>
    <n v="10.9"/>
    <n v="84.81"/>
    <n v="927.09"/>
    <n v="10.9"/>
    <n v="85.054128440366966"/>
    <n v="3571.6800000000003"/>
    <n v="42"/>
    <n v="85.04"/>
    <n v="222.148"/>
    <n v="7.6"/>
    <n v="29.23"/>
    <n v="161.93100000000001"/>
    <n v="7.7"/>
    <n v="21.03"/>
    <n v="201.96"/>
    <n v="8.8000000000000007"/>
    <n v="22.95"/>
    <n v="435.31099999999992"/>
    <n v="8.9"/>
    <n v="48.911348314606734"/>
    <n v="1021.35"/>
    <n v="33"/>
    <n v="30.95"/>
    <n v="93.17"/>
    <n v="4.37"/>
    <n v="9.56"/>
    <n v="5.21"/>
    <n v="4.6100000000000003"/>
    <n v="3.96"/>
    <n v="3.8"/>
    <n v="11.19"/>
    <n v="10.15"/>
    <n v="9.83"/>
    <n v="7.41"/>
    <n v="98.68"/>
    <n v="103.35"/>
    <n v="97.87"/>
    <n v="73.209999999999994"/>
  </r>
  <r>
    <x v="3"/>
    <s v="CHK"/>
    <x v="8"/>
    <n v="1070"/>
    <n v="41.6"/>
    <n v="28"/>
    <n v="247.93333333333334"/>
    <n v="1487.6"/>
    <n v="0"/>
    <n v="0"/>
    <n v="0"/>
    <n v="0"/>
    <n v="0"/>
    <n v="247.93333333333334"/>
    <n v="1487.6"/>
    <n v="1"/>
    <n v="0.71927937617639159"/>
    <n v="0.1677870395267545"/>
    <n v="0.11293358429685399"/>
    <n v="98.1"/>
    <n v="25.5"/>
    <n v="712"/>
    <n v="1453.6"/>
    <n v="-2179.2000000000003"/>
    <n v="242.26666666666665"/>
    <n v="-363.20000000000005"/>
    <n v="-0.59986787051310286"/>
    <m/>
    <n v="-4191"/>
    <n v="805"/>
    <n v="0"/>
    <n v="0"/>
    <n v="-3386"/>
    <n v="-110"/>
    <n v="61.1"/>
    <n v="0"/>
    <n v="0"/>
    <n v="-48.9"/>
    <n v="-75.8"/>
    <n v="35.299999999999997"/>
    <n v="0"/>
    <n v="0"/>
    <n v="-40.5"/>
    <n v="-3922.4"/>
    <n v="-653.73333333333335"/>
    <n v="454"/>
    <n v="0"/>
    <n v="112"/>
    <n v="2546"/>
    <n v="3112"/>
    <n v="14316"/>
    <n v="711.03333333333353"/>
    <n v="4266.2000000000007"/>
    <n v="20.134077164689881"/>
    <n v="3.3556795274483142"/>
    <m/>
    <n v="3165"/>
    <n v="235"/>
    <n v="0"/>
    <n v="99.254544030084617"/>
    <n v="44"/>
    <n v="0"/>
    <n v="18.583829520526482"/>
    <n v="0"/>
    <n v="99"/>
    <n v="99"/>
    <n v="694"/>
    <n v="0"/>
    <n v="293.11767471012223"/>
    <n v="5391"/>
    <n v="12764"/>
    <n v="0.42235976183014728"/>
    <n v="3674.9560482607335"/>
    <n v="14.822355666553106"/>
    <n v="2.4703926110921843"/>
    <m/>
    <n v="6786.956048260734"/>
    <n v="678.69560482607346"/>
    <n v="0.21808984730914957"/>
    <n v="2.7374116892689169"/>
    <n v="0.45623528154481952"/>
    <n v="12.551761226136058"/>
    <n v="2.0919602043560097"/>
    <n v="34.956432831242985"/>
    <n v="37.693844520511902"/>
    <n v="47.508194057379043"/>
    <n v="5.8260721385404981"/>
    <n v="6.282307420085318"/>
    <n v="7.9180323428965078"/>
    <n v="4"/>
    <n v="3.4956432831242985"/>
    <n v="866.68649132928442"/>
    <n v="0.27849822986159523"/>
    <m/>
    <n v="6798"/>
    <m/>
    <n v="968.14600000000007"/>
    <n v="263.8"/>
    <n v="3.67"/>
    <n v="278.154"/>
    <n v="275.39999999999998"/>
    <n v="1.01"/>
    <n v="299.82"/>
    <n v="263"/>
    <n v="1.1399999999999999"/>
    <n v="1364.28"/>
    <n v="267.80000000000007"/>
    <n v="5.0943988050784155"/>
    <n v="2910.4"/>
    <n v="1070"/>
    <n v="2.72"/>
    <n v="721"/>
    <n v="11"/>
    <n v="65.73"/>
    <n v="776"/>
    <n v="10.8"/>
    <n v="67.91"/>
    <n v="658.14"/>
    <n v="10.5"/>
    <n v="62.68"/>
    <n v="655.07999999999993"/>
    <n v="9.6999999999999993"/>
    <n v="67.534020618556696"/>
    <n v="2810.22"/>
    <n v="42"/>
    <n v="66.91"/>
    <n v="74"/>
    <n v="6"/>
    <n v="6.99"/>
    <n v="86"/>
    <n v="7.2"/>
    <n v="1.9"/>
    <n v="-9.66"/>
    <n v="7"/>
    <n v="-1.38"/>
    <n v="243.34000000000003"/>
    <n v="7.8000000000000007"/>
    <n v="31.197435897435899"/>
    <n v="393.68"/>
    <n v="28"/>
    <n v="14.06"/>
    <n v="48.66"/>
    <n v="2.62"/>
    <n v="4.97"/>
    <n v="2.9"/>
    <n v="2.75"/>
    <n v="2.76"/>
    <n v="2.12"/>
    <n v="5.43"/>
    <n v="5.2"/>
    <n v="4.68"/>
    <n v="4.5999999999999996"/>
    <n v="48.49"/>
    <n v="57.85"/>
    <n v="46.64"/>
    <n v="41.94"/>
  </r>
  <r>
    <x v="3"/>
    <s v="CHK"/>
    <x v="9"/>
    <n v="1050"/>
    <n v="33.200000000000003"/>
    <n v="28.1"/>
    <n v="236.29999999999998"/>
    <n v="1417.8000000000002"/>
    <n v="0"/>
    <n v="0"/>
    <n v="0"/>
    <n v="0"/>
    <n v="0"/>
    <n v="236.29999999999998"/>
    <n v="1417.8000000000002"/>
    <n v="1"/>
    <n v="0.74058400338552677"/>
    <n v="0.1404993652137114"/>
    <n v="0.11891663140076175"/>
    <n v="198.7"/>
    <n v="92.2"/>
    <n v="1370"/>
    <n v="3115.3999999999996"/>
    <n v="1661.7999999999997"/>
    <n v="519.23333333333335"/>
    <n v="276.9666666666667"/>
    <n v="1.1432305998899286"/>
    <m/>
    <n v="598"/>
    <n v="1798"/>
    <n v="299"/>
    <n v="0"/>
    <n v="2695"/>
    <n v="-58.9"/>
    <n v="191.2"/>
    <n v="1"/>
    <n v="0"/>
    <n v="133.29999999999998"/>
    <n v="2.8"/>
    <n v="89"/>
    <n v="3.6"/>
    <n v="0"/>
    <n v="95.399999999999991"/>
    <n v="4067.2000000000003"/>
    <n v="677.86666666666667"/>
    <n v="403"/>
    <n v="403"/>
    <n v="52"/>
    <n v="1127"/>
    <n v="1985"/>
    <n v="10517"/>
    <n v="434.5"/>
    <n v="2607"/>
    <n v="24.204833141542004"/>
    <n v="4.0341388569236667"/>
    <m/>
    <n v="2565"/>
    <n v="240"/>
    <n v="0"/>
    <n v="100.24390243902438"/>
    <n v="-27"/>
    <n v="0"/>
    <n v="-11.277439024390244"/>
    <n v="0"/>
    <n v="74"/>
    <n v="74"/>
    <n v="669"/>
    <n v="0"/>
    <n v="279.42987804878049"/>
    <n v="3288"/>
    <n v="7872"/>
    <n v="0.41768292682926828"/>
    <n v="3007.3963414634145"/>
    <n v="12.727026413302644"/>
    <n v="2.1211710688837737"/>
    <m/>
    <n v="4992.3963414634145"/>
    <n v="499.23963414634147"/>
    <n v="0.25150611292007125"/>
    <n v="2.1127364965989908"/>
    <n v="0.35212274943316507"/>
    <n v="8.4003385526872627"/>
    <n v="1.4000564254478769"/>
    <n v="36.93185955484465"/>
    <n v="39.044596051443641"/>
    <n v="45.332198107531909"/>
    <n v="6.1553099258074404"/>
    <n v="6.5074326752406053"/>
    <n v="7.5553663512553175"/>
    <n v="4"/>
    <n v="3.693185955484465"/>
    <n v="872.69984128097906"/>
    <n v="0.43964727520452346"/>
    <m/>
    <n v="4802"/>
    <m/>
    <n v="632.49799999999993"/>
    <n v="276.2"/>
    <n v="2.29"/>
    <n v="529.92999999999995"/>
    <n v="269"/>
    <n v="1.97"/>
    <n v="570.83999999999992"/>
    <n v="268"/>
    <n v="2.13"/>
    <n v="574.53200000000038"/>
    <n v="235.79999999999995"/>
    <n v="2.4365224766751505"/>
    <n v="2307.8000000000002"/>
    <n v="1049"/>
    <n v="2.2000000000000002"/>
    <n v="328.42499999999995"/>
    <n v="8.6999999999999993"/>
    <n v="37.75"/>
    <n v="354.48"/>
    <n v="8"/>
    <n v="44.31"/>
    <n v="361.92"/>
    <n v="8"/>
    <n v="45.24"/>
    <n v="393.31499999999983"/>
    <n v="8.3000000000000007"/>
    <n v="47.387349397590334"/>
    <n v="1438.1399999999999"/>
    <n v="33"/>
    <n v="43.58"/>
    <n v="68.64"/>
    <n v="6"/>
    <n v="11.44"/>
    <n v="90.160000000000011"/>
    <n v="7"/>
    <n v="12.88"/>
    <n v="87.68"/>
    <n v="6.4"/>
    <n v="13.7"/>
    <n v="99.839999999999961"/>
    <n v="4.6000000000000014"/>
    <n v="21.704347826086941"/>
    <n v="346.32"/>
    <n v="24"/>
    <n v="14.43"/>
    <n v="43.2"/>
    <n v="2.52"/>
    <n v="5.04"/>
    <n v="1.99"/>
    <n v="2.15"/>
    <n v="2.88"/>
    <n v="3.04"/>
    <n v="4.0199999999999996"/>
    <n v="5"/>
    <n v="5.04"/>
    <n v="6.05"/>
    <n v="33.35"/>
    <n v="45.46"/>
    <n v="44.85"/>
    <n v="49.14"/>
  </r>
  <r>
    <x v="4"/>
    <s v="CXO"/>
    <x v="0"/>
    <n v="12.064"/>
    <n v="3.0139999999999998"/>
    <n v="0"/>
    <n v="5.0246666666666666"/>
    <n v="30.148"/>
    <n v="0"/>
    <n v="0"/>
    <n v="0"/>
    <n v="0"/>
    <n v="0"/>
    <n v="5.0246666666666666"/>
    <n v="30.148"/>
    <n v="1"/>
    <n v="0.40015921454159481"/>
    <n v="0.59984078545840513"/>
    <n v="0"/>
    <n v="25.744"/>
    <n v="0"/>
    <n v="96.965000000000003"/>
    <n v="251.429"/>
    <m/>
    <n v="41.904833333333329"/>
    <m/>
    <m/>
    <m/>
    <n v="-12.022"/>
    <n v="48.750999999999998"/>
    <n v="0.35399999999999998"/>
    <n v="0"/>
    <n v="37.082999999999998"/>
    <n v="-1.1910000000000001"/>
    <n v="13.14"/>
    <n v="0.105"/>
    <n v="0"/>
    <n v="12.054"/>
    <n v="0"/>
    <n v="0"/>
    <n v="0"/>
    <n v="0"/>
    <n v="0"/>
    <n v="109.407"/>
    <n v="18.234500000000001"/>
    <n v="7.2930000000000001"/>
    <n v="0"/>
    <n v="116.01900000000001"/>
    <n v="64.209000000000003"/>
    <n v="187.52100000000002"/>
    <m/>
    <m/>
    <m/>
    <m/>
    <m/>
    <m/>
    <m/>
    <m/>
    <m/>
    <m/>
    <m/>
    <m/>
    <m/>
    <m/>
    <m/>
    <m/>
    <m/>
    <m/>
    <m/>
    <n v="0"/>
    <n v="0"/>
    <m/>
    <m/>
    <m/>
    <m/>
    <m/>
    <m/>
    <m/>
    <m/>
    <m/>
    <m/>
    <m/>
    <m/>
    <m/>
    <m/>
    <m/>
    <m/>
    <m/>
    <m/>
    <m/>
    <m/>
    <m/>
    <m/>
    <m/>
    <m/>
    <m/>
    <m/>
    <m/>
    <m/>
    <m/>
    <m/>
    <m/>
    <m/>
    <m/>
    <m/>
    <m/>
    <m/>
    <m/>
    <m/>
    <m/>
    <m/>
    <m/>
    <m/>
    <m/>
    <m/>
    <m/>
    <m/>
    <m/>
    <m/>
    <m/>
    <m/>
    <m/>
    <m/>
    <m/>
    <m/>
    <m/>
    <m/>
    <m/>
    <m/>
    <m/>
    <m/>
    <m/>
    <m/>
    <m/>
    <m/>
    <m/>
    <m/>
    <m/>
    <m/>
    <m/>
    <m/>
    <n v="72.34"/>
    <n v="6.97"/>
    <n v="12.91"/>
    <m/>
    <m/>
    <m/>
    <m/>
    <m/>
    <m/>
    <m/>
    <m/>
    <m/>
    <m/>
    <m/>
    <m/>
  </r>
  <r>
    <x v="4"/>
    <s v="CXO"/>
    <x v="1"/>
    <n v="14.968"/>
    <n v="4.5860000000000003"/>
    <n v="0"/>
    <n v="7.0806666666666676"/>
    <n v="42.484000000000002"/>
    <n v="0"/>
    <n v="0"/>
    <n v="0"/>
    <n v="0"/>
    <n v="0"/>
    <n v="7.0806666666666676"/>
    <n v="42.484000000000002"/>
    <n v="1"/>
    <n v="0.35232087374070237"/>
    <n v="0.64767912625929758"/>
    <n v="0"/>
    <n v="39.624000000000002"/>
    <n v="0"/>
    <n v="126.824"/>
    <n v="364.56800000000004"/>
    <n v="113.13900000000004"/>
    <n v="60.76133333333334"/>
    <n v="18.856500000000011"/>
    <n v="0.44998389207291156"/>
    <m/>
    <n v="-34.323"/>
    <n v="73.38"/>
    <n v="56.021999999999998"/>
    <n v="0"/>
    <n v="95.078999999999994"/>
    <n v="-7.5209999999999999"/>
    <n v="24.193999999999999"/>
    <n v="20.837"/>
    <n v="0"/>
    <n v="37.51"/>
    <n v="0"/>
    <n v="0"/>
    <n v="0"/>
    <n v="0"/>
    <n v="0"/>
    <n v="320.13900000000001"/>
    <n v="53.356499999999997"/>
    <n v="240.29400000000001"/>
    <n v="590.65099999999995"/>
    <n v="159.61100000000002"/>
    <n v="179.965"/>
    <n v="1170.521"/>
    <m/>
    <m/>
    <m/>
    <m/>
    <m/>
    <m/>
    <m/>
    <m/>
    <m/>
    <m/>
    <m/>
    <m/>
    <m/>
    <m/>
    <m/>
    <m/>
    <m/>
    <m/>
    <m/>
    <n v="0"/>
    <n v="0"/>
    <m/>
    <m/>
    <m/>
    <m/>
    <m/>
    <m/>
    <m/>
    <m/>
    <m/>
    <m/>
    <m/>
    <m/>
    <m/>
    <m/>
    <m/>
    <m/>
    <m/>
    <m/>
    <m/>
    <m/>
    <m/>
    <m/>
    <m/>
    <m/>
    <m/>
    <m/>
    <m/>
    <m/>
    <m/>
    <m/>
    <m/>
    <m/>
    <m/>
    <m/>
    <m/>
    <m/>
    <m/>
    <m/>
    <m/>
    <m/>
    <m/>
    <m/>
    <m/>
    <m/>
    <m/>
    <m/>
    <m/>
    <m/>
    <m/>
    <m/>
    <m/>
    <m/>
    <m/>
    <m/>
    <m/>
    <m/>
    <m/>
    <m/>
    <m/>
    <m/>
    <m/>
    <m/>
    <m/>
    <m/>
    <m/>
    <m/>
    <m/>
    <m/>
    <m/>
    <m/>
    <n v="99.67"/>
    <n v="8.86"/>
    <n v="15.2"/>
    <m/>
    <m/>
    <m/>
    <m/>
    <m/>
    <m/>
    <m/>
    <m/>
    <m/>
    <m/>
    <m/>
    <m/>
  </r>
  <r>
    <x v="4"/>
    <s v="CXO"/>
    <x v="2"/>
    <n v="21.568000000000001"/>
    <n v="7.3360000000000003"/>
    <n v="0"/>
    <n v="10.930666666666667"/>
    <n v="65.584000000000003"/>
    <n v="0"/>
    <n v="0"/>
    <n v="0"/>
    <n v="0"/>
    <n v="0"/>
    <n v="10.930666666666667"/>
    <n v="65.584000000000003"/>
    <n v="1"/>
    <n v="0.32886069773115395"/>
    <n v="0.67113930226884611"/>
    <n v="0"/>
    <n v="75.44"/>
    <n v="0"/>
    <n v="194.13499999999999"/>
    <n v="646.77499999999998"/>
    <n v="282.20699999999994"/>
    <n v="107.79583333333332"/>
    <n v="47.03449999999998"/>
    <n v="0.77408604156151894"/>
    <m/>
    <n v="-14.4"/>
    <n v="109.15"/>
    <n v="38.095999999999997"/>
    <n v="0"/>
    <n v="132.846"/>
    <n v="1.421"/>
    <n v="47.75"/>
    <n v="13.916"/>
    <n v="0"/>
    <n v="63.087000000000003"/>
    <n v="0"/>
    <n v="0"/>
    <n v="0"/>
    <n v="0"/>
    <n v="0"/>
    <n v="511.36800000000005"/>
    <n v="85.228000000000009"/>
    <n v="74.691999999999993"/>
    <n v="205.32900000000001"/>
    <n v="133.65299999999999"/>
    <n v="260.30599999999998"/>
    <n v="673.98"/>
    <n v="2032.0219999999999"/>
    <n v="156.81900000000002"/>
    <n v="940.91399999999999"/>
    <n v="12.957753843603133"/>
    <n v="2.1596256406005225"/>
    <m/>
    <n v="56.048000000000002"/>
    <m/>
    <n v="53.162999999999997"/>
    <n v="53.162999999999997"/>
    <m/>
    <n v="7.2990000000000004"/>
    <n v="7.2990000000000004"/>
    <m/>
    <n v="41.619"/>
    <n v="41.619"/>
    <m/>
    <n v="14.862"/>
    <n v="14.862"/>
    <n v="510.767"/>
    <n v="510.767"/>
    <n v="1"/>
    <n v="172.99099999999999"/>
    <n v="15.826207611612586"/>
    <n v="2.6377012686020977"/>
    <m/>
    <n v="846.971"/>
    <n v="84.697100000000006"/>
    <n v="0.12566708210926142"/>
    <n v="7.7485758721639426"/>
    <n v="1.2914293120273237"/>
    <n v="61.659551110026833"/>
    <n v="10.276591851671139"/>
    <n v="28.783961455215717"/>
    <n v="36.532537327379657"/>
    <n v="90.443512565242543"/>
    <n v="4.7973269092026207"/>
    <n v="6.0887562212299446"/>
    <n v="15.073918760873759"/>
    <n v="4"/>
    <n v="2.8783961455215716"/>
    <n v="31.46278880131446"/>
    <n v="4.6682080775860502E-2"/>
    <n v="8.6679999999999993"/>
    <m/>
    <m/>
    <m/>
    <m/>
    <m/>
    <m/>
    <m/>
    <m/>
    <m/>
    <m/>
    <m/>
    <m/>
    <m/>
    <m/>
    <m/>
    <m/>
    <m/>
    <m/>
    <m/>
    <m/>
    <m/>
    <m/>
    <m/>
    <m/>
    <m/>
    <m/>
    <m/>
    <m/>
    <m/>
    <m/>
    <m/>
    <m/>
    <m/>
    <m/>
    <m/>
    <m/>
    <m/>
    <m/>
    <m/>
    <m/>
    <m/>
    <m/>
    <m/>
    <m/>
    <m/>
    <m/>
    <m/>
    <n v="61.95"/>
    <n v="3.94"/>
    <n v="8.99"/>
    <m/>
    <m/>
    <m/>
    <m/>
    <m/>
    <m/>
    <m/>
    <m/>
    <m/>
    <m/>
    <m/>
    <m/>
  </r>
  <r>
    <x v="4"/>
    <s v="CXO"/>
    <x v="3"/>
    <n v="31.405000000000001"/>
    <n v="10.33"/>
    <n v="0"/>
    <n v="15.564166666666667"/>
    <n v="93.385000000000005"/>
    <n v="0"/>
    <n v="0"/>
    <n v="0"/>
    <n v="0"/>
    <n v="0"/>
    <n v="15.564166666666667"/>
    <n v="93.385000000000005"/>
    <n v="1"/>
    <n v="0.33629597901161856"/>
    <n v="0.66370402098838144"/>
    <n v="0"/>
    <n v="95.983999999999995"/>
    <n v="0"/>
    <n v="257.68299999999999"/>
    <n v="833.58699999999999"/>
    <n v="186.81200000000001"/>
    <n v="138.93116666666666"/>
    <n v="31.135333333333335"/>
    <n v="0.28883614858335593"/>
    <m/>
    <n v="5.7249999999999996"/>
    <n v="110.923"/>
    <n v="188.422"/>
    <n v="0"/>
    <n v="305.07"/>
    <n v="-1.8420000000000001"/>
    <n v="41.151000000000003"/>
    <n v="43.363999999999997"/>
    <n v="0"/>
    <n v="82.673000000000002"/>
    <n v="0"/>
    <n v="0"/>
    <n v="0"/>
    <n v="0"/>
    <n v="0"/>
    <n v="801.10799999999995"/>
    <n v="133.518"/>
    <n v="475.68799999999999"/>
    <n v="1216.088"/>
    <n v="200.01300000000001"/>
    <n v="479.01100000000002"/>
    <n v="2370.7999999999997"/>
    <n v="4215.3009999999995"/>
    <n v="272.10249999999996"/>
    <n v="1632.615"/>
    <n v="15.491592322746024"/>
    <n v="2.5819320537910038"/>
    <m/>
    <n v="86.533999999999992"/>
    <m/>
    <n v="94.275000000000006"/>
    <n v="94.275000000000006"/>
    <m/>
    <n v="19.885000000000002"/>
    <n v="19.885000000000002"/>
    <m/>
    <n v="79.875"/>
    <n v="79.875"/>
    <m/>
    <n v="48.052"/>
    <n v="48.052"/>
    <n v="940.26700000000005"/>
    <n v="940.26700000000005"/>
    <n v="1"/>
    <n v="328.62099999999998"/>
    <n v="21.113947636129996"/>
    <n v="3.518991272688333"/>
    <m/>
    <n v="2699.4209999999998"/>
    <n v="269.94209999999998"/>
    <n v="0.11386118609751983"/>
    <n v="17.343819671253414"/>
    <n v="2.8906366118755686"/>
    <n v="152.3242490764041"/>
    <n v="25.387374846067353"/>
    <n v="36.605539958876022"/>
    <n v="53.949359630129436"/>
    <n v="188.92978903528012"/>
    <n v="6.1009233264793368"/>
    <n v="8.9915599383549054"/>
    <n v="31.488298172546688"/>
    <n v="4"/>
    <n v="3.6605539958876023"/>
    <n v="56.973472484327289"/>
    <n v="2.4031328026120843E-2"/>
    <n v="46.826000000000001"/>
    <m/>
    <m/>
    <m/>
    <m/>
    <m/>
    <m/>
    <m/>
    <m/>
    <m/>
    <m/>
    <m/>
    <m/>
    <m/>
    <m/>
    <m/>
    <m/>
    <m/>
    <m/>
    <m/>
    <m/>
    <m/>
    <m/>
    <m/>
    <m/>
    <m/>
    <m/>
    <m/>
    <m/>
    <m/>
    <m/>
    <m/>
    <m/>
    <m/>
    <m/>
    <m/>
    <m/>
    <m/>
    <m/>
    <m/>
    <m/>
    <m/>
    <m/>
    <m/>
    <m/>
    <m/>
    <m/>
    <m/>
    <n v="79.48"/>
    <n v="4.37"/>
    <n v="11.83"/>
    <m/>
    <m/>
    <m/>
    <m/>
    <m/>
    <m/>
    <m/>
    <m/>
    <m/>
    <m/>
    <m/>
    <m/>
  </r>
  <r>
    <x v="4"/>
    <s v="CXO"/>
    <x v="4"/>
    <n v="53.713999999999999"/>
    <n v="14.692"/>
    <n v="0"/>
    <n v="23.644333333333336"/>
    <n v="141.86599999999999"/>
    <n v="0"/>
    <n v="0"/>
    <n v="0"/>
    <n v="0"/>
    <n v="0"/>
    <n v="23.644333333333336"/>
    <n v="141.86599999999999"/>
    <n v="1"/>
    <n v="0.37862489955309941"/>
    <n v="0.62137510044690059"/>
    <n v="0"/>
    <n v="94.384"/>
    <n v="0"/>
    <n v="337.24900000000002"/>
    <n v="903.553"/>
    <n v="69.966000000000008"/>
    <n v="150.59216666666669"/>
    <n v="11.66100000000003"/>
    <n v="8.3933650596758572E-2"/>
    <m/>
    <n v="35.966999999999999"/>
    <n v="209.827"/>
    <n v="35.691000000000003"/>
    <n v="0"/>
    <n v="281.48500000000001"/>
    <n v="-9.9920000000000009"/>
    <n v="51.517000000000003"/>
    <n v="6.6310000000000002"/>
    <n v="0"/>
    <n v="48.156000000000006"/>
    <n v="0"/>
    <n v="0"/>
    <n v="0"/>
    <n v="0"/>
    <n v="0"/>
    <n v="570.42100000000005"/>
    <n v="95.070166666666665"/>
    <n v="361.32100000000003"/>
    <n v="163.65799999999999"/>
    <n v="560.495"/>
    <n v="732.65700000000004"/>
    <n v="1818.1310000000003"/>
    <n v="4862.9110000000001"/>
    <n v="313.81616666666667"/>
    <n v="1882.8970000000002"/>
    <n v="15.496049969807164"/>
    <n v="2.5826749949678605"/>
    <m/>
    <n v="146.88799999999998"/>
    <m/>
    <n v="98.525000000000006"/>
    <n v="98.525000000000006"/>
    <m/>
    <n v="22.768000000000001"/>
    <n v="22.768000000000001"/>
    <m/>
    <n v="131.041"/>
    <n v="131.041"/>
    <m/>
    <n v="77.921000000000006"/>
    <n v="77.921000000000006"/>
    <n v="1617.771"/>
    <n v="1617.771"/>
    <n v="1"/>
    <n v="477.14299999999997"/>
    <n v="20.180014943679243"/>
    <n v="3.3633358239465414"/>
    <m/>
    <n v="2295.2740000000003"/>
    <n v="229.52740000000006"/>
    <n v="0.12624359850857833"/>
    <n v="9.7075014450255885"/>
    <n v="1.6179169075042652"/>
    <n v="76.894999506576639"/>
    <n v="12.815833251096109"/>
    <n v="35.676064913486407"/>
    <n v="45.383566358511999"/>
    <n v="112.57106442006304"/>
    <n v="5.9460108189144023"/>
    <n v="7.5639277264186671"/>
    <n v="18.761844070010511"/>
    <n v="4"/>
    <n v="3.5676064913486405"/>
    <n v="84.353677083611046"/>
    <n v="4.6395819159131567E-2"/>
    <n v="107.767"/>
    <m/>
    <m/>
    <m/>
    <m/>
    <m/>
    <m/>
    <m/>
    <m/>
    <m/>
    <m/>
    <m/>
    <m/>
    <m/>
    <m/>
    <m/>
    <m/>
    <m/>
    <m/>
    <m/>
    <m/>
    <m/>
    <m/>
    <m/>
    <m/>
    <m/>
    <m/>
    <m/>
    <m/>
    <m/>
    <m/>
    <m/>
    <m/>
    <m/>
    <m/>
    <m/>
    <m/>
    <m/>
    <m/>
    <m/>
    <m/>
    <m/>
    <m/>
    <m/>
    <m/>
    <m/>
    <m/>
    <m/>
    <n v="94.88"/>
    <n v="4"/>
    <n v="15.12"/>
    <m/>
    <m/>
    <m/>
    <m/>
    <m/>
    <m/>
    <m/>
    <m/>
    <m/>
    <m/>
    <m/>
    <m/>
  </r>
  <r>
    <x v="4"/>
    <s v="CXO"/>
    <x v="5"/>
    <n v="70.590999999999994"/>
    <n v="18.003"/>
    <n v="0"/>
    <n v="29.768166666666666"/>
    <n v="178.60899999999998"/>
    <n v="0"/>
    <n v="0"/>
    <n v="0"/>
    <n v="0"/>
    <n v="0"/>
    <n v="29.768166666666666"/>
    <n v="178.60899999999998"/>
    <n v="1"/>
    <n v="0.39522644435610749"/>
    <n v="0.60477355564389257"/>
    <n v="0"/>
    <n v="112.572"/>
    <n v="0"/>
    <n v="376.66"/>
    <n v="1052.0920000000001"/>
    <n v="148.5390000000001"/>
    <n v="175.34866666666667"/>
    <n v="24.756499999999988"/>
    <n v="0.16439434100711292"/>
    <m/>
    <n v="-40.49"/>
    <n v="189.37100000000001"/>
    <n v="157.26400000000001"/>
    <n v="0"/>
    <n v="306.14499999999998"/>
    <n v="-15.945"/>
    <n v="60.357999999999997"/>
    <n v="30.268999999999998"/>
    <n v="0"/>
    <n v="74.681999999999988"/>
    <n v="0"/>
    <n v="0"/>
    <n v="0"/>
    <n v="0"/>
    <n v="0"/>
    <n v="754.23699999999985"/>
    <n v="125.70616666666666"/>
    <n v="441.04199999999997"/>
    <n v="857.83600000000001"/>
    <n v="778.56299999999999"/>
    <n v="725.67000000000007"/>
    <n v="2803.1109999999999"/>
    <n v="6992.0420000000004"/>
    <n v="354.29433333333333"/>
    <n v="2125.7659999999996"/>
    <n v="19.735122304148248"/>
    <n v="3.2891870506913752"/>
    <m/>
    <n v="192.94200000000001"/>
    <m/>
    <n v="133.79599999999999"/>
    <n v="133.79599999999999"/>
    <m/>
    <n v="19.673999999999999"/>
    <n v="19.673999999999999"/>
    <m/>
    <n v="150.80099999999999"/>
    <n v="150.80099999999999"/>
    <m/>
    <n v="158.715"/>
    <n v="158.715"/>
    <n v="1819.8140000000001"/>
    <n v="1819.8140000000001"/>
    <n v="1"/>
    <n v="655.92799999999988"/>
    <n v="22.034544731788429"/>
    <n v="3.6724241219647382"/>
    <m/>
    <n v="3459.0389999999998"/>
    <n v="345.90390000000002"/>
    <n v="0.12340000092754087"/>
    <n v="11.619926207525937"/>
    <n v="1.9366543679209898"/>
    <n v="94.164717343470926"/>
    <n v="15.694119557245157"/>
    <n v="41.769667035936678"/>
    <n v="53.389593243462613"/>
    <n v="135.93438437940762"/>
    <n v="6.961611172656113"/>
    <n v="8.8982655405771034"/>
    <n v="22.655730729901272"/>
    <n v="4"/>
    <n v="4.176966703593668"/>
    <n v="124.34064099369357"/>
    <n v="4.435808678061396E-2"/>
    <n v="118.806"/>
    <m/>
    <m/>
    <n v="90.126199999999997"/>
    <n v="15.539"/>
    <n v="5.8"/>
    <n v="68.411199999999994"/>
    <n v="14.872"/>
    <n v="4.5999999999999996"/>
    <n v="85.151999999999987"/>
    <n v="17.739999999999998"/>
    <n v="4.8"/>
    <n v="94.038510000000031"/>
    <n v="18.462"/>
    <n v="5.0936252843678922"/>
    <n v="337.72791000000001"/>
    <n v="66.613"/>
    <n v="5.07"/>
    <n v="351.75118000000003"/>
    <n v="3.9140000000000001"/>
    <n v="89.87"/>
    <n v="343.07144999999997"/>
    <n v="3.915"/>
    <n v="87.63"/>
    <n v="396.31592000000001"/>
    <n v="4.3120000000000003"/>
    <n v="91.91"/>
    <n v="414.20156000000037"/>
    <n v="4.7180000000000017"/>
    <n v="87.791767698177239"/>
    <n v="1505.3401100000003"/>
    <n v="16.859000000000002"/>
    <n v="89.29"/>
    <m/>
    <m/>
    <m/>
    <m/>
    <m/>
    <m/>
    <m/>
    <m/>
    <m/>
    <m/>
    <m/>
    <m/>
    <m/>
    <m/>
    <m/>
    <n v="94.05"/>
    <n v="2.75"/>
    <n v="10.98"/>
    <n v="2.41"/>
    <n v="2.2799999999999998"/>
    <n v="2.88"/>
    <n v="3.4"/>
    <n v="13.14"/>
    <n v="10.75"/>
    <n v="9.9600000000000009"/>
    <n v="10.08"/>
    <n v="102.98"/>
    <n v="93.29"/>
    <n v="92.17"/>
    <n v="88.01"/>
  </r>
  <r>
    <x v="4"/>
    <s v="CXO"/>
    <x v="6"/>
    <n v="75.054000000000002"/>
    <n v="21.126000000000001"/>
    <n v="0"/>
    <n v="33.635000000000005"/>
    <n v="201.81"/>
    <n v="0"/>
    <n v="0"/>
    <n v="0"/>
    <n v="0"/>
    <n v="0"/>
    <n v="33.635000000000005"/>
    <n v="201.81"/>
    <n v="1"/>
    <n v="0.37190426638917795"/>
    <n v="0.62809573361082205"/>
    <n v="0"/>
    <n v="127.86199999999999"/>
    <n v="0"/>
    <n v="430.82299999999998"/>
    <n v="1197.9949999999999"/>
    <n v="145.90299999999979"/>
    <n v="199.66583333333332"/>
    <n v="24.317166666666651"/>
    <n v="0.13867893682301538"/>
    <m/>
    <n v="2.3130000000000002"/>
    <n v="199.886"/>
    <n v="4.016"/>
    <n v="0"/>
    <n v="206.21499999999997"/>
    <n v="-17.914000000000001"/>
    <n v="72.025000000000006"/>
    <n v="0.88900000000000001"/>
    <n v="0"/>
    <n v="55.000000000000007"/>
    <n v="0"/>
    <n v="0"/>
    <n v="0"/>
    <n v="0"/>
    <n v="0"/>
    <n v="536.21500000000003"/>
    <n v="89.369166666666672"/>
    <n v="85.537999999999997"/>
    <n v="11.499000000000001"/>
    <n v="1027.1209999999999"/>
    <n v="728.96299999999997"/>
    <n v="1853.1209999999999"/>
    <n v="6474.3630000000003"/>
    <n v="310.14549999999997"/>
    <n v="1860.873"/>
    <n v="20.875244038685072"/>
    <n v="3.479207339780845"/>
    <m/>
    <n v="263.87199999999996"/>
    <m/>
    <n v="169.815"/>
    <n v="169.815"/>
    <m/>
    <n v="21.376000000000001"/>
    <n v="21.376000000000001"/>
    <m/>
    <n v="191.56400000000002"/>
    <n v="191.56400000000002"/>
    <m/>
    <n v="200.96100000000001"/>
    <n v="200.96100000000001"/>
    <n v="2319.9189999999999"/>
    <n v="2319.9189999999999"/>
    <n v="1"/>
    <n v="847.58799999999997"/>
    <n v="25.199583766909463"/>
    <n v="4.1999306278182447"/>
    <m/>
    <n v="2700.7089999999998"/>
    <n v="270.07089999999999"/>
    <n v="0.14573840564107796"/>
    <n v="8.0294603835290612"/>
    <n v="1.3382433972548435"/>
    <n v="55.095020068381139"/>
    <n v="9.1825033447301916"/>
    <n v="46.074827805594538"/>
    <n v="54.104288189123601"/>
    <n v="101.16984787397567"/>
    <n v="7.6791379675990896"/>
    <n v="9.0173813648539323"/>
    <n v="16.861641312329283"/>
    <n v="4"/>
    <n v="4.6074827805594536"/>
    <n v="154.97268332411724"/>
    <n v="8.3627935425758623E-2"/>
    <n v="144.50399999999999"/>
    <m/>
    <m/>
    <n v="78.845139999999986"/>
    <n v="17.797999999999998"/>
    <n v="4.43"/>
    <n v="96.425699999999992"/>
    <n v="18.614999999999998"/>
    <n v="5.18"/>
    <n v="104.43069"/>
    <n v="19.593"/>
    <n v="5.33"/>
    <n v="111.32980999999998"/>
    <n v="19.048000000000005"/>
    <n v="5.8446981310373767"/>
    <n v="391.03134"/>
    <n v="75.054000000000002"/>
    <n v="5.21"/>
    <n v="399.23625000000004"/>
    <n v="4.7670000000000003"/>
    <n v="83.75"/>
    <n v="467.95495999999997"/>
    <n v="5.1920000000000002"/>
    <n v="90.13"/>
    <n v="503.18512999999996"/>
    <n v="5.4169999999999998"/>
    <n v="92.89"/>
    <n v="526.52720000000033"/>
    <n v="5.7500000000000009"/>
    <n v="91.569947826087002"/>
    <n v="1896.9035400000002"/>
    <n v="21.126000000000001"/>
    <n v="89.79"/>
    <m/>
    <m/>
    <m/>
    <m/>
    <m/>
    <m/>
    <m/>
    <m/>
    <m/>
    <m/>
    <m/>
    <m/>
    <m/>
    <m/>
    <m/>
    <n v="97.98"/>
    <n v="3.73"/>
    <n v="9.94"/>
    <n v="3.49"/>
    <n v="4.01"/>
    <n v="3.56"/>
    <n v="3.85"/>
    <n v="9.77"/>
    <n v="9.39"/>
    <n v="10.01"/>
    <n v="10.53"/>
    <n v="94.33"/>
    <n v="94.05"/>
    <n v="105.83"/>
    <n v="97.44"/>
  </r>
  <r>
    <x v="4"/>
    <s v="CXO"/>
    <x v="7"/>
    <n v="87.335999999999999"/>
    <n v="26.318999999999999"/>
    <n v="0"/>
    <n v="40.875"/>
    <n v="245.25"/>
    <n v="0"/>
    <n v="0"/>
    <n v="0"/>
    <n v="0"/>
    <n v="0"/>
    <n v="40.875"/>
    <n v="245.25"/>
    <n v="1"/>
    <n v="0.35611009174311925"/>
    <n v="0.64388990825688075"/>
    <n v="0"/>
    <n v="158.90100000000001"/>
    <n v="0"/>
    <n v="608.44799999999998"/>
    <n v="1561.854"/>
    <n v="363.85900000000015"/>
    <n v="260.30900000000003"/>
    <n v="60.643166666666701"/>
    <n v="0.3037233043543589"/>
    <m/>
    <n v="95.811999999999998"/>
    <n v="400.32900000000001"/>
    <n v="18.97"/>
    <n v="0"/>
    <n v="515.11099999999999"/>
    <n v="-28.648"/>
    <n v="115.389"/>
    <n v="2.5430000000000001"/>
    <n v="0"/>
    <n v="89.284000000000006"/>
    <n v="0"/>
    <n v="0"/>
    <n v="0"/>
    <n v="0"/>
    <n v="0"/>
    <n v="1050.8150000000001"/>
    <n v="175.13583333333332"/>
    <n v="292.363"/>
    <n v="99.361999999999995"/>
    <n v="1612.6490000000001"/>
    <n v="930.00299999999993"/>
    <n v="2934.3770000000004"/>
    <n v="7590.6090000000004"/>
    <n v="390.21116666666666"/>
    <n v="2341.2669999999998"/>
    <n v="19.452567349217325"/>
    <n v="3.2420945582028882"/>
    <m/>
    <n v="329.25099999999998"/>
    <m/>
    <n v="204.161"/>
    <n v="204.161"/>
    <m/>
    <n v="27.844000000000001"/>
    <n v="27.844000000000001"/>
    <m/>
    <n v="209.12300000000002"/>
    <n v="209.12300000000002"/>
    <m/>
    <n v="211.34200000000001"/>
    <n v="211.34200000000001"/>
    <n v="2660.1469999999999"/>
    <n v="2660.1469999999999"/>
    <n v="1"/>
    <n v="981.721"/>
    <n v="24.017639143730886"/>
    <n v="4.0029398572884816"/>
    <m/>
    <n v="3916.0980000000004"/>
    <n v="391.60980000000006"/>
    <n v="0.13345585792146"/>
    <n v="9.5806678899082591"/>
    <n v="1.5967779816513763"/>
    <n v="71.789039755351695"/>
    <n v="11.964839959225282"/>
    <n v="43.470206492948208"/>
    <n v="53.050874382856463"/>
    <n v="115.2592462482999"/>
    <n v="7.2450344154913697"/>
    <n v="8.8418123971427462"/>
    <n v="19.209874374716652"/>
    <n v="4"/>
    <n v="4.3470206492948211"/>
    <n v="177.6844690399258"/>
    <n v="6.0552706431356906E-2"/>
    <n v="241.65700000000001"/>
    <m/>
    <m/>
    <n v="116.02800000000001"/>
    <n v="19.8"/>
    <n v="5.86"/>
    <n v="122.4645"/>
    <n v="21.484999999999999"/>
    <n v="5.7"/>
    <n v="125.17228"/>
    <n v="22.513000000000002"/>
    <n v="5.56"/>
    <n v="102.70945999999998"/>
    <n v="23.538"/>
    <n v="4.3635593508369439"/>
    <n v="466.37423999999999"/>
    <n v="87.335999999999999"/>
    <n v="5.34"/>
    <n v="530.1152800000001"/>
    <n v="5.8460000000000001"/>
    <n v="90.68"/>
    <n v="556.18741"/>
    <n v="6.2290000000000001"/>
    <n v="89.29"/>
    <n v="589.90291000000002"/>
    <n v="6.6890000000000001"/>
    <n v="88.19"/>
    <n v="589.07072999999957"/>
    <n v="7.5549999999999997"/>
    <n v="77.970976836532046"/>
    <n v="2265.2763299999997"/>
    <n v="26.318999999999999"/>
    <n v="86.07"/>
    <m/>
    <m/>
    <m/>
    <m/>
    <m/>
    <m/>
    <m/>
    <m/>
    <m/>
    <m/>
    <m/>
    <m/>
    <m/>
    <m/>
    <m/>
    <n v="93.17"/>
    <n v="4.37"/>
    <n v="9.56"/>
    <n v="5.21"/>
    <n v="4.6100000000000003"/>
    <n v="3.96"/>
    <n v="3.8"/>
    <n v="11.19"/>
    <n v="10.15"/>
    <n v="9.83"/>
    <n v="7.41"/>
    <n v="98.68"/>
    <n v="103.35"/>
    <n v="97.87"/>
    <n v="73.209999999999994"/>
  </r>
  <r>
    <x v="4"/>
    <s v="CXO"/>
    <x v="8"/>
    <n v="106.98699999999999"/>
    <n v="34.457000000000001"/>
    <n v="0"/>
    <n v="52.288166666666669"/>
    <n v="313.72900000000004"/>
    <n v="0"/>
    <n v="0"/>
    <n v="0"/>
    <n v="0"/>
    <n v="0"/>
    <n v="52.288166666666669"/>
    <n v="313.72900000000004"/>
    <n v="1"/>
    <n v="0.34101724736954497"/>
    <n v="0.65898275263045492"/>
    <n v="0"/>
    <n v="163.904"/>
    <n v="0"/>
    <n v="607.43399999999997"/>
    <n v="1590.8579999999999"/>
    <n v="29.003999999999905"/>
    <n v="265.14299999999997"/>
    <n v="4.8339999999999463"/>
    <n v="1.8570237679065824E-2"/>
    <m/>
    <n v="-344.26799999999997"/>
    <n v="359.161"/>
    <n v="27.722000000000001"/>
    <n v="0"/>
    <n v="42.61500000000003"/>
    <n v="-71.453000000000003"/>
    <n v="97.207999999999998"/>
    <n v="7.0830000000000002"/>
    <n v="0"/>
    <n v="32.837999999999994"/>
    <n v="0"/>
    <n v="0"/>
    <n v="0"/>
    <n v="0"/>
    <n v="0"/>
    <n v="239.643"/>
    <n v="39.9405"/>
    <n v="206.214"/>
    <n v="57.19"/>
    <n v="1120.7670000000001"/>
    <n v="718.17199999999991"/>
    <n v="2102.3429999999998"/>
    <n v="6889.8410000000003"/>
    <n v="304.44549999999998"/>
    <n v="1826.6730000000002"/>
    <n v="22.630786134135668"/>
    <n v="3.7717976890226108"/>
    <m/>
    <n v="389.70400000000006"/>
    <m/>
    <n v="230.73400000000001"/>
    <n v="230.73400000000001"/>
    <m/>
    <n v="3.95"/>
    <n v="3.95"/>
    <m/>
    <n v="151.655"/>
    <n v="151.655"/>
    <m/>
    <n v="211.44300000000001"/>
    <n v="211.44300000000001"/>
    <n v="1803.5730000000001"/>
    <n v="1803.5730000000001"/>
    <n v="1"/>
    <n v="987.4860000000001"/>
    <n v="18.885458468933379"/>
    <n v="3.1475764114888962"/>
    <m/>
    <n v="3089.8289999999997"/>
    <n v="308.98289999999997"/>
    <n v="0.14697073693493401"/>
    <n v="5.9092318529686443"/>
    <n v="0.9848719754947739"/>
    <n v="40.206860060753066"/>
    <n v="6.7011433434588437"/>
    <n v="41.516244603069048"/>
    <n v="47.425476456037693"/>
    <n v="81.723104663822113"/>
    <n v="6.919374100511507"/>
    <n v="7.9042460760062809"/>
    <n v="13.62051744397035"/>
    <n v="4"/>
    <n v="4.1516244603069046"/>
    <n v="217.08083171793749"/>
    <n v="0.10325661974184874"/>
    <n v="116.19799999999999"/>
    <m/>
    <m/>
    <n v="70.793800000000005"/>
    <n v="22.984999999999999"/>
    <n v="3.08"/>
    <n v="75.695040000000006"/>
    <n v="26.283000000000001"/>
    <n v="2.88"/>
    <n v="79.913879999999992"/>
    <n v="28.745999999999999"/>
    <n v="2.78"/>
    <n v="73.160879999999949"/>
    <n v="28.972999999999995"/>
    <n v="2.5251399578918288"/>
    <n v="299.56359999999995"/>
    <n v="106.98699999999999"/>
    <n v="2.8"/>
    <n v="509.77120000000008"/>
    <n v="8.0660000000000007"/>
    <n v="63.2"/>
    <n v="574.01036000000011"/>
    <n v="9.0310000000000006"/>
    <n v="63.56"/>
    <n v="547.70235000000002"/>
    <n v="8.9450000000000003"/>
    <n v="61.23"/>
    <n v="505.88379999999978"/>
    <n v="8.4150000000000009"/>
    <n v="60.116910279263188"/>
    <n v="2137.36771"/>
    <n v="34.457000000000001"/>
    <n v="62.03"/>
    <m/>
    <m/>
    <m/>
    <m/>
    <m/>
    <m/>
    <m/>
    <m/>
    <m/>
    <m/>
    <m/>
    <m/>
    <m/>
    <m/>
    <m/>
    <n v="48.66"/>
    <n v="2.62"/>
    <n v="4.97"/>
    <n v="2.9"/>
    <n v="2.75"/>
    <n v="2.76"/>
    <n v="2.12"/>
    <n v="5.43"/>
    <n v="5.2"/>
    <n v="4.68"/>
    <n v="4.5999999999999996"/>
    <n v="48.49"/>
    <n v="57.85"/>
    <n v="46.64"/>
    <n v="41.94"/>
  </r>
  <r>
    <x v="4"/>
    <s v="CXO"/>
    <x v="9"/>
    <n v="127.48099999999999"/>
    <n v="33.840000000000003"/>
    <n v="0"/>
    <n v="55.086833333333331"/>
    <n v="330.52100000000002"/>
    <n v="0"/>
    <n v="0"/>
    <n v="0"/>
    <n v="0"/>
    <n v="0"/>
    <n v="55.086833333333331"/>
    <n v="330.52100000000002"/>
    <n v="1"/>
    <n v="0.38569712665761025"/>
    <n v="0.61430287334238987"/>
    <n v="0"/>
    <n v="160.83199999999999"/>
    <n v="0"/>
    <n v="561.26199999999994"/>
    <n v="1526.2539999999999"/>
    <n v="-64.604000000000042"/>
    <n v="254.37566666666663"/>
    <n v="-10.76733333333334"/>
    <n v="-4.0609532717565018E-2"/>
    <m/>
    <n v="4.3760000000000003"/>
    <n v="156.928"/>
    <n v="108.48399999999999"/>
    <n v="0"/>
    <n v="269.78800000000001"/>
    <n v="-24.721"/>
    <n v="83.617000000000004"/>
    <n v="40.991999999999997"/>
    <n v="0"/>
    <n v="99.888000000000005"/>
    <n v="0"/>
    <n v="0"/>
    <n v="0"/>
    <n v="0"/>
    <n v="0"/>
    <n v="869.11599999999999"/>
    <n v="144.85266666666666"/>
    <n v="1154.423"/>
    <n v="981.85500000000002"/>
    <n v="700.23299999999995"/>
    <n v="447.363"/>
    <n v="3283.8740000000003"/>
    <n v="8320.594000000001"/>
    <n v="359.92899999999997"/>
    <n v="2159.5740000000001"/>
    <n v="23.117320360404417"/>
    <n v="3.8528867267340692"/>
    <m/>
    <n v="319.85399999999993"/>
    <m/>
    <n v="225.565"/>
    <n v="225.565"/>
    <m/>
    <n v="0"/>
    <n v="0"/>
    <m/>
    <n v="131.45000000000002"/>
    <n v="131.45000000000002"/>
    <m/>
    <n v="232.173"/>
    <n v="232.173"/>
    <n v="1634.9880000000001"/>
    <n v="1634.9880000000001"/>
    <n v="1"/>
    <n v="909.04200000000003"/>
    <n v="16.501983232532883"/>
    <n v="2.7503305387554802"/>
    <m/>
    <n v="4192.9160000000002"/>
    <n v="419.29160000000002"/>
    <n v="0.12768199997929275"/>
    <n v="7.6114667449269495"/>
    <n v="1.2685777908211582"/>
    <n v="59.612684216736611"/>
    <n v="9.9354473694561012"/>
    <n v="39.6193035929373"/>
    <n v="47.23077033786425"/>
    <n v="99.23198780967391"/>
    <n v="6.6032172654895493"/>
    <n v="7.8717950563107077"/>
    <n v="16.538664634945651"/>
    <n v="5"/>
    <n v="3.9619303592937301"/>
    <n v="218.25019738068715"/>
    <n v="6.6461197165508523E-2"/>
    <n v="151.148"/>
    <m/>
    <m/>
    <n v="48.22475"/>
    <n v="27.556999999999999"/>
    <n v="1.75"/>
    <n v="64.824420000000003"/>
    <n v="30.434000000000001"/>
    <n v="2.13"/>
    <n v="83.876159999999985"/>
    <n v="34.095999999999997"/>
    <n v="2.46"/>
    <n v="103.92982999999997"/>
    <n v="35.393999999999998"/>
    <n v="2.9363685935469279"/>
    <n v="300.85515999999996"/>
    <n v="127.48099999999999"/>
    <n v="2.36"/>
    <n v="493.28999999999996"/>
    <n v="8.1"/>
    <n v="60.9"/>
    <n v="500.10002000000003"/>
    <n v="8.1370000000000005"/>
    <n v="61.46"/>
    <n v="501.89020999999991"/>
    <n v="8.3829999999999991"/>
    <n v="59.87"/>
    <n v="464.05577000000017"/>
    <n v="9.2200000000000042"/>
    <n v="50.331428416485892"/>
    <n v="1959.3360000000002"/>
    <n v="33.840000000000003"/>
    <n v="57.9"/>
    <m/>
    <m/>
    <m/>
    <m/>
    <m/>
    <m/>
    <m/>
    <m/>
    <m/>
    <m/>
    <m/>
    <m/>
    <m/>
    <m/>
    <m/>
    <n v="43.2"/>
    <n v="2.52"/>
    <n v="5.04"/>
    <n v="1.99"/>
    <n v="2.15"/>
    <n v="2.88"/>
    <n v="3.04"/>
    <n v="4.0199999999999996"/>
    <n v="5"/>
    <n v="5.04"/>
    <n v="6.05"/>
    <n v="33.35"/>
    <n v="45.46"/>
    <n v="44.85"/>
    <n v="49.14"/>
  </r>
  <r>
    <x v="5"/>
    <s v="COP"/>
    <x v="0"/>
    <n v="948"/>
    <n v="166"/>
    <n v="0"/>
    <n v="324"/>
    <n v="1944"/>
    <n v="1059"/>
    <n v="168"/>
    <n v="0"/>
    <n v="344.5"/>
    <n v="2067"/>
    <n v="668.5"/>
    <n v="4011"/>
    <n v="0.48466716529543757"/>
    <n v="0.48765432098765432"/>
    <n v="0.51234567901234573"/>
    <n v="0"/>
    <n v="247"/>
    <n v="0"/>
    <n v="1873"/>
    <n v="3355"/>
    <m/>
    <n v="559.16666666666674"/>
    <m/>
    <m/>
    <m/>
    <n v="566"/>
    <n v="544"/>
    <n v="30"/>
    <n v="6"/>
    <n v="1146"/>
    <n v="75"/>
    <n v="53"/>
    <n v="0"/>
    <n v="41"/>
    <n v="169"/>
    <n v="0"/>
    <n v="0"/>
    <n v="0"/>
    <n v="0"/>
    <n v="0"/>
    <n v="2160"/>
    <n v="360"/>
    <n v="207"/>
    <n v="42"/>
    <n v="583"/>
    <n v="2942"/>
    <n v="3774"/>
    <m/>
    <m/>
    <m/>
    <m/>
    <m/>
    <m/>
    <m/>
    <m/>
    <m/>
    <m/>
    <m/>
    <m/>
    <m/>
    <m/>
    <m/>
    <m/>
    <m/>
    <m/>
    <m/>
    <n v="0"/>
    <n v="0"/>
    <m/>
    <m/>
    <m/>
    <m/>
    <m/>
    <m/>
    <m/>
    <m/>
    <m/>
    <m/>
    <m/>
    <m/>
    <m/>
    <m/>
    <m/>
    <m/>
    <m/>
    <m/>
    <n v="4"/>
    <m/>
    <m/>
    <m/>
    <m/>
    <m/>
    <m/>
    <m/>
    <m/>
    <m/>
    <m/>
    <m/>
    <m/>
    <m/>
    <m/>
    <m/>
    <m/>
    <m/>
    <m/>
    <m/>
    <m/>
    <m/>
    <m/>
    <m/>
    <m/>
    <m/>
    <m/>
    <m/>
    <m/>
    <m/>
    <m/>
    <m/>
    <m/>
    <m/>
    <m/>
    <m/>
    <m/>
    <m/>
    <m/>
    <m/>
    <m/>
    <m/>
    <m/>
    <m/>
    <m/>
    <m/>
    <m/>
    <m/>
    <m/>
    <m/>
    <m/>
    <m/>
    <n v="72.34"/>
    <n v="6.97"/>
    <n v="12.91"/>
    <m/>
    <m/>
    <m/>
    <m/>
    <m/>
    <m/>
    <m/>
    <m/>
    <m/>
    <m/>
    <m/>
    <m/>
  </r>
  <r>
    <x v="5"/>
    <s v="COP"/>
    <x v="1"/>
    <n v="869"/>
    <n v="157"/>
    <n v="0"/>
    <n v="301.83333333333337"/>
    <n v="1811"/>
    <n v="1108"/>
    <n v="173"/>
    <n v="0"/>
    <n v="357.66666666666663"/>
    <n v="2146"/>
    <n v="659.5"/>
    <n v="3957"/>
    <n v="0.45766995198382615"/>
    <n v="0.47984538928768639"/>
    <n v="0.52015461071231361"/>
    <n v="0"/>
    <n v="252"/>
    <n v="0"/>
    <n v="1632"/>
    <n v="3144"/>
    <n v="-211"/>
    <n v="524"/>
    <n v="-35.166666666666742"/>
    <n v="-6.2891207153502368E-2"/>
    <m/>
    <n v="-1122"/>
    <n v="275"/>
    <n v="13"/>
    <n v="17"/>
    <n v="-817"/>
    <n v="-223"/>
    <n v="38"/>
    <n v="0"/>
    <n v="28"/>
    <n v="-157"/>
    <n v="0"/>
    <n v="0"/>
    <n v="0"/>
    <n v="0"/>
    <n v="0"/>
    <n v="-1759"/>
    <n v="-293.16666666666663"/>
    <n v="1019"/>
    <n v="37"/>
    <n v="857"/>
    <n v="3281"/>
    <n v="5194"/>
    <m/>
    <m/>
    <m/>
    <m/>
    <m/>
    <m/>
    <m/>
    <m/>
    <m/>
    <m/>
    <m/>
    <m/>
    <m/>
    <m/>
    <m/>
    <m/>
    <m/>
    <m/>
    <m/>
    <n v="0"/>
    <n v="0"/>
    <m/>
    <m/>
    <m/>
    <m/>
    <m/>
    <m/>
    <m/>
    <m/>
    <m/>
    <m/>
    <m/>
    <m/>
    <m/>
    <m/>
    <m/>
    <m/>
    <m/>
    <m/>
    <n v="4"/>
    <m/>
    <m/>
    <m/>
    <m/>
    <m/>
    <m/>
    <m/>
    <m/>
    <m/>
    <m/>
    <m/>
    <m/>
    <m/>
    <m/>
    <m/>
    <m/>
    <m/>
    <m/>
    <m/>
    <m/>
    <m/>
    <m/>
    <m/>
    <m/>
    <m/>
    <m/>
    <m/>
    <m/>
    <m/>
    <m/>
    <m/>
    <m/>
    <m/>
    <m/>
    <m/>
    <m/>
    <m/>
    <m/>
    <m/>
    <m/>
    <m/>
    <m/>
    <m/>
    <m/>
    <m/>
    <m/>
    <m/>
    <m/>
    <m/>
    <m/>
    <m/>
    <n v="99.67"/>
    <n v="8.86"/>
    <n v="15.2"/>
    <m/>
    <m/>
    <m/>
    <m/>
    <m/>
    <m/>
    <m/>
    <m/>
    <m/>
    <m/>
    <m/>
    <m/>
  </r>
  <r>
    <x v="5"/>
    <s v="COP"/>
    <x v="2"/>
    <n v="850"/>
    <n v="153"/>
    <n v="0"/>
    <n v="294.66666666666663"/>
    <n v="1768"/>
    <n v="1056"/>
    <n v="188"/>
    <n v="0"/>
    <n v="364"/>
    <n v="2184"/>
    <n v="658.66666666666663"/>
    <n v="3952"/>
    <n v="0.44736842105263158"/>
    <n v="0.48076923076923078"/>
    <n v="0.51923076923076927"/>
    <n v="0"/>
    <n v="116"/>
    <n v="101"/>
    <n v="1365"/>
    <n v="2667"/>
    <n v="-477"/>
    <n v="444.5"/>
    <n v="-79.5"/>
    <n v="-0.15171755725190839"/>
    <m/>
    <n v="526"/>
    <n v="146"/>
    <n v="0"/>
    <n v="3"/>
    <n v="675"/>
    <n v="85"/>
    <n v="31"/>
    <n v="0"/>
    <n v="15"/>
    <n v="131"/>
    <n v="0"/>
    <n v="0"/>
    <n v="0"/>
    <n v="0"/>
    <n v="0"/>
    <n v="1461"/>
    <n v="243.5"/>
    <n v="78"/>
    <n v="7"/>
    <n v="613"/>
    <n v="2516"/>
    <n v="3214"/>
    <n v="12182"/>
    <n v="310.33333333333337"/>
    <n v="1862"/>
    <n v="39.254564983888287"/>
    <n v="6.5424274973147156"/>
    <m/>
    <n v="3070"/>
    <n v="1830"/>
    <n v="0"/>
    <n v="818.68421052631595"/>
    <n v="998"/>
    <n v="0"/>
    <n v="446.47368421052636"/>
    <n v="0"/>
    <n v="1557"/>
    <n v="1557"/>
    <n v="1776"/>
    <m/>
    <n v="794.52631578947376"/>
    <n v="48509"/>
    <n v="48509"/>
    <n v="0.44736842105263164"/>
    <n v="6686.6842105263158"/>
    <n v="22.69236723029293"/>
    <n v="3.7820612050488212"/>
    <m/>
    <n v="9900.6842105263167"/>
    <n v="990.06842105263172"/>
    <n v="0.30804866865358799"/>
    <n v="3.3599607049297462"/>
    <n v="0.55999345082162433"/>
    <n v="10.907239819004527"/>
    <n v="1.8178733031674208"/>
    <n v="61.946932214181217"/>
    <n v="65.306892919110965"/>
    <n v="72.854172033185748"/>
    <n v="10.324488702363537"/>
    <n v="10.884482153185161"/>
    <n v="12.142362005530957"/>
    <n v="4"/>
    <n v="6.1946932214181221"/>
    <n v="1825.3696025778731"/>
    <n v="0.56794324909081306"/>
    <n v="908"/>
    <m/>
    <m/>
    <m/>
    <m/>
    <m/>
    <m/>
    <m/>
    <m/>
    <m/>
    <m/>
    <m/>
    <m/>
    <m/>
    <m/>
    <m/>
    <m/>
    <m/>
    <m/>
    <m/>
    <m/>
    <m/>
    <m/>
    <m/>
    <m/>
    <m/>
    <m/>
    <m/>
    <m/>
    <m/>
    <m/>
    <m/>
    <m/>
    <m/>
    <m/>
    <m/>
    <m/>
    <m/>
    <m/>
    <m/>
    <m/>
    <m/>
    <m/>
    <m/>
    <m/>
    <m/>
    <m/>
    <m/>
    <n v="61.95"/>
    <n v="3.94"/>
    <n v="8.99"/>
    <m/>
    <m/>
    <m/>
    <m/>
    <m/>
    <m/>
    <m/>
    <m/>
    <m/>
    <m/>
    <m/>
    <m/>
  </r>
  <r>
    <x v="5"/>
    <s v="COP"/>
    <x v="3"/>
    <n v="764"/>
    <n v="109"/>
    <n v="30"/>
    <n v="266.33333333333331"/>
    <n v="1598"/>
    <n v="1030"/>
    <n v="156"/>
    <n v="23"/>
    <n v="350.66666666666663"/>
    <n v="2104"/>
    <n v="617"/>
    <n v="3702"/>
    <n v="0.43165856293895194"/>
    <n v="0.47809762202753442"/>
    <n v="0.40926157697121407"/>
    <n v="0.11264080100125157"/>
    <n v="167"/>
    <n v="78"/>
    <n v="1295"/>
    <n v="2765"/>
    <n v="98"/>
    <n v="460.83333333333337"/>
    <n v="16.333333333333371"/>
    <n v="3.6745406824147064E-2"/>
    <m/>
    <n v="520"/>
    <n v="126"/>
    <n v="9"/>
    <n v="25"/>
    <n v="680"/>
    <n v="74"/>
    <n v="44"/>
    <n v="0"/>
    <n v="53"/>
    <n v="171"/>
    <n v="15"/>
    <n v="3"/>
    <n v="1"/>
    <n v="0"/>
    <n v="19"/>
    <n v="1820"/>
    <n v="303.33333333333331"/>
    <n v="260"/>
    <n v="100"/>
    <n v="606"/>
    <n v="2027"/>
    <n v="2993"/>
    <n v="11401"/>
    <n v="253.66666666666669"/>
    <n v="1522"/>
    <n v="44.944809461235216"/>
    <n v="7.4908015768725358"/>
    <m/>
    <n v="3031"/>
    <n v="809"/>
    <n v="0"/>
    <n v="349.2117774176121"/>
    <n v="1210"/>
    <n v="0"/>
    <n v="522.30686115613184"/>
    <n v="0"/>
    <n v="2068"/>
    <n v="2068"/>
    <n v="1658"/>
    <n v="0"/>
    <n v="715.68989735278228"/>
    <n v="56215"/>
    <n v="56215"/>
    <n v="0.43165856293895194"/>
    <n v="6686.2085359265266"/>
    <n v="25.104662838272318"/>
    <n v="4.1841104730453855"/>
    <m/>
    <n v="9679.2085359265257"/>
    <n v="967.92085359265263"/>
    <n v="0.3233948725668736"/>
    <n v="3.6342460084830512"/>
    <n v="0.60570766808050858"/>
    <n v="11.237797246558198"/>
    <n v="1.8729662077596996"/>
    <n v="70.049472299507528"/>
    <n v="73.683718307990574"/>
    <n v="81.28726954606573"/>
    <n v="11.674912049917921"/>
    <n v="12.28061971799843"/>
    <n v="13.54787825767762"/>
    <n v="4"/>
    <n v="7.0049472299507531"/>
    <n v="1865.6509455768837"/>
    <n v="0.62333810410186563"/>
    <n v="1013"/>
    <m/>
    <m/>
    <m/>
    <m/>
    <m/>
    <m/>
    <m/>
    <m/>
    <m/>
    <m/>
    <m/>
    <m/>
    <m/>
    <m/>
    <m/>
    <m/>
    <m/>
    <m/>
    <m/>
    <m/>
    <m/>
    <m/>
    <m/>
    <m/>
    <m/>
    <m/>
    <m/>
    <m/>
    <m/>
    <m/>
    <m/>
    <m/>
    <m/>
    <m/>
    <m/>
    <m/>
    <m/>
    <m/>
    <m/>
    <m/>
    <m/>
    <m/>
    <m/>
    <m/>
    <m/>
    <m/>
    <m/>
    <n v="79.48"/>
    <n v="4.37"/>
    <n v="11.83"/>
    <m/>
    <m/>
    <m/>
    <m/>
    <m/>
    <m/>
    <m/>
    <m/>
    <m/>
    <m/>
    <m/>
    <m/>
  </r>
  <r>
    <x v="5"/>
    <s v="COP"/>
    <x v="4"/>
    <n v="708"/>
    <n v="107"/>
    <n v="32"/>
    <n v="257"/>
    <n v="1542"/>
    <n v="924"/>
    <n v="116"/>
    <n v="19"/>
    <n v="289"/>
    <n v="1734"/>
    <n v="546"/>
    <n v="3276"/>
    <n v="0.47069597069597069"/>
    <n v="0.45914396887159531"/>
    <n v="0.41634241245136189"/>
    <n v="0.1245136186770428"/>
    <n v="190"/>
    <n v="73"/>
    <n v="1047"/>
    <n v="2625"/>
    <n v="-140"/>
    <n v="437.5"/>
    <n v="-23.333333333333371"/>
    <n v="-5.0632911392405139E-2"/>
    <m/>
    <n v="201"/>
    <n v="174"/>
    <n v="7"/>
    <n v="6"/>
    <n v="388"/>
    <n v="87"/>
    <n v="77"/>
    <n v="0"/>
    <n v="17"/>
    <n v="181"/>
    <n v="28"/>
    <n v="12"/>
    <n v="1"/>
    <n v="0"/>
    <n v="41"/>
    <n v="1720"/>
    <n v="286.66666666666669"/>
    <n v="578"/>
    <n v="10"/>
    <n v="1115"/>
    <n v="3132"/>
    <n v="4835"/>
    <n v="11042"/>
    <n v="833.5"/>
    <n v="5001"/>
    <n v="13.247750449910018"/>
    <n v="2.2079584083183361"/>
    <m/>
    <n v="3314"/>
    <n v="865"/>
    <n v="0"/>
    <n v="407.15201465201466"/>
    <n v="9827"/>
    <n v="0"/>
    <n v="4625.5293040293036"/>
    <n v="0"/>
    <n v="3241"/>
    <n v="3241"/>
    <n v="1442"/>
    <n v="0"/>
    <n v="678.74358974358972"/>
    <n v="64196"/>
    <n v="64196"/>
    <n v="0.47069597069597069"/>
    <n v="12266.424908424908"/>
    <n v="47.729279799318704"/>
    <n v="7.9548799665531176"/>
    <m/>
    <n v="17101.42490842491"/>
    <n v="1710.142490842491"/>
    <n v="0.3537006185816941"/>
    <n v="6.6542509371303149"/>
    <n v="1.1090418228550525"/>
    <n v="18.813229571984436"/>
    <n v="3.1355382619974059"/>
    <n v="60.977030249228719"/>
    <n v="67.631281186359033"/>
    <n v="79.790259821213155"/>
    <n v="10.162838374871454"/>
    <n v="11.271880197726507"/>
    <n v="13.298376636868859"/>
    <n v="4"/>
    <n v="6.0977030249228719"/>
    <n v="1567.109677405178"/>
    <n v="0.32411782366187758"/>
    <n v="1037"/>
    <m/>
    <m/>
    <m/>
    <m/>
    <m/>
    <m/>
    <m/>
    <m/>
    <m/>
    <m/>
    <m/>
    <m/>
    <m/>
    <m/>
    <m/>
    <m/>
    <m/>
    <m/>
    <m/>
    <m/>
    <m/>
    <m/>
    <m/>
    <m/>
    <m/>
    <m/>
    <m/>
    <m/>
    <m/>
    <m/>
    <m/>
    <m/>
    <m/>
    <m/>
    <m/>
    <m/>
    <m/>
    <m/>
    <m/>
    <m/>
    <m/>
    <m/>
    <m/>
    <m/>
    <m/>
    <m/>
    <m/>
    <n v="94.88"/>
    <n v="4"/>
    <n v="15.12"/>
    <m/>
    <m/>
    <m/>
    <m/>
    <m/>
    <m/>
    <m/>
    <m/>
    <m/>
    <m/>
    <m/>
    <m/>
  </r>
  <r>
    <x v="5"/>
    <s v="COP"/>
    <x v="5"/>
    <n v="685"/>
    <n v="115"/>
    <n v="36"/>
    <n v="265.16666666666669"/>
    <n v="1591"/>
    <n v="854"/>
    <n v="106"/>
    <n v="21"/>
    <n v="269.33333333333337"/>
    <n v="1616"/>
    <n v="534.5"/>
    <n v="3207"/>
    <n v="0.49610227627065795"/>
    <n v="0.43054682589566312"/>
    <n v="0.43368950345694529"/>
    <n v="0.13576367064739156"/>
    <n v="307"/>
    <n v="69"/>
    <n v="925"/>
    <n v="3181"/>
    <n v="556"/>
    <n v="530.16666666666663"/>
    <n v="92.666666666666629"/>
    <n v="0.21180952380952373"/>
    <m/>
    <n v="-483"/>
    <n v="451"/>
    <n v="9"/>
    <n v="27"/>
    <n v="4"/>
    <n v="9"/>
    <n v="205"/>
    <n v="0"/>
    <n v="16"/>
    <n v="230"/>
    <n v="-9"/>
    <n v="40"/>
    <n v="1"/>
    <n v="0"/>
    <n v="32"/>
    <n v="1576"/>
    <n v="262.66666666666663"/>
    <n v="564"/>
    <n v="33"/>
    <n v="1376"/>
    <n v="4561"/>
    <n v="6534"/>
    <n v="14362"/>
    <n v="852.66666666666663"/>
    <n v="5116"/>
    <n v="16.843627834245506"/>
    <n v="2.8072713057075842"/>
    <m/>
    <n v="3576"/>
    <n v="1106"/>
    <n v="0"/>
    <n v="548.68911755534759"/>
    <n v="8100"/>
    <n v="0"/>
    <n v="4018.4284377923291"/>
    <n v="0"/>
    <n v="2990"/>
    <n v="2990"/>
    <n v="1324"/>
    <n v="0"/>
    <n v="656.83941378235102"/>
    <n v="57967"/>
    <n v="57967"/>
    <n v="0.49610227627065789"/>
    <n v="11789.956969130028"/>
    <n v="44.462439858441336"/>
    <n v="7.4104066430735562"/>
    <m/>
    <n v="18323.956969130028"/>
    <n v="1832.3956969130029"/>
    <n v="0.28044011278129827"/>
    <n v="6.9103546080942904"/>
    <n v="1.1517257680157151"/>
    <n v="24.64110622250157"/>
    <n v="4.1068510370835956"/>
    <n v="61.306067692686838"/>
    <n v="68.216422300781133"/>
    <n v="85.947173915188415"/>
    <n v="10.217677948781141"/>
    <n v="11.369403716796857"/>
    <n v="14.324528985864736"/>
    <n v="4"/>
    <n v="6.1306067692686836"/>
    <n v="1625.6325616510794"/>
    <n v="0.24879592311770424"/>
    <n v="1038"/>
    <m/>
    <m/>
    <n v="377.4693125"/>
    <n v="142.44125"/>
    <n v="2.65"/>
    <n v="279.00599999999997"/>
    <n v="132.85999999999999"/>
    <n v="2.1"/>
    <n v="478.54784999999993"/>
    <n v="137.51374999999999"/>
    <n v="3.48"/>
    <n v="401.83123750000038"/>
    <n v="152.20500000000001"/>
    <n v="2.6400659472422086"/>
    <n v="1536.8544000000002"/>
    <n v="565.02"/>
    <n v="2.72"/>
    <n v="2935.96875"/>
    <n v="29.65625"/>
    <n v="99"/>
    <n v="2436.7199249999999"/>
    <n v="27.192499999999999"/>
    <n v="89.61"/>
    <n v="2309.2509750000004"/>
    <n v="25.641250000000003"/>
    <n v="90.06"/>
    <n v="3358.5292499999996"/>
    <n v="31.025000000000006"/>
    <n v="108.25235294117644"/>
    <n v="11040.4689"/>
    <n v="113.515"/>
    <n v="97.26"/>
    <n v="417.90674999999993"/>
    <n v="9.3074999999999992"/>
    <n v="44.9"/>
    <n v="312.748425"/>
    <n v="9.0337500000000013"/>
    <n v="34.619999999999997"/>
    <n v="277.92925000000002"/>
    <n v="8.8512500000000003"/>
    <n v="31.4"/>
    <n v="298.27982500000002"/>
    <n v="9.6725000000000012"/>
    <n v="30.837924528301883"/>
    <n v="1306.8642500000001"/>
    <n v="36.865000000000002"/>
    <n v="35.450000000000003"/>
    <n v="94.05"/>
    <n v="2.75"/>
    <n v="10.98"/>
    <n v="2.41"/>
    <n v="2.2799999999999998"/>
    <n v="2.88"/>
    <n v="3.4"/>
    <n v="13.14"/>
    <n v="10.75"/>
    <n v="9.9600000000000009"/>
    <n v="10.08"/>
    <n v="102.98"/>
    <n v="93.29"/>
    <n v="92.17"/>
    <n v="88.01"/>
  </r>
  <r>
    <x v="5"/>
    <s v="COP"/>
    <x v="6"/>
    <n v="678"/>
    <n v="120"/>
    <n v="40"/>
    <n v="273"/>
    <n v="1638"/>
    <n v="977"/>
    <n v="98"/>
    <n v="59"/>
    <n v="319.83333333333337"/>
    <n v="1919"/>
    <n v="592.83333333333337"/>
    <n v="3557"/>
    <n v="0.46050042170368288"/>
    <n v="0.41391941391941389"/>
    <n v="0.43956043956043955"/>
    <n v="0.14652014652014653"/>
    <n v="441"/>
    <n v="100"/>
    <n v="939"/>
    <n v="4185"/>
    <n v="1004"/>
    <n v="697.5"/>
    <n v="167.33333333333337"/>
    <n v="0.31562401760452696"/>
    <m/>
    <n v="287"/>
    <n v="510"/>
    <n v="0"/>
    <n v="6"/>
    <n v="803"/>
    <n v="13"/>
    <n v="244"/>
    <n v="0"/>
    <n v="20"/>
    <n v="277"/>
    <n v="45"/>
    <n v="58"/>
    <n v="0"/>
    <n v="0"/>
    <n v="103"/>
    <n v="3083"/>
    <n v="513.83333333333337"/>
    <n v="314"/>
    <n v="4"/>
    <n v="1315"/>
    <n v="4992"/>
    <n v="6625"/>
    <n v="17994"/>
    <n v="1063.1666666666665"/>
    <n v="6379"/>
    <n v="16.924909860479701"/>
    <n v="2.8208183100799498"/>
    <m/>
    <n v="4068"/>
    <n v="854"/>
    <n v="0"/>
    <n v="393.26736013494525"/>
    <n v="4910"/>
    <n v="0"/>
    <n v="2261.0570705650834"/>
    <n v="0"/>
    <n v="2261"/>
    <n v="2261"/>
    <n v="1279"/>
    <n v="0"/>
    <n v="588.98003935901045"/>
    <n v="54413"/>
    <n v="54413"/>
    <n v="0.46050042170368294"/>
    <n v="9572.3044700590399"/>
    <n v="35.063386337212599"/>
    <n v="5.8438977228687667"/>
    <m/>
    <n v="16197.30447005904"/>
    <n v="1619.7304470059041"/>
    <n v="0.24448761464240062"/>
    <n v="5.9330785604611869"/>
    <n v="0.98884642674353118"/>
    <n v="24.267399267399266"/>
    <n v="4.0445665445665444"/>
    <n v="51.9882961976923"/>
    <n v="57.92137475815349"/>
    <n v="76.255695465091563"/>
    <n v="8.6647160329487161"/>
    <n v="9.6535624596922478"/>
    <n v="12.70928257751526"/>
    <n v="4"/>
    <n v="5.1988296197692296"/>
    <n v="1419.2804861969996"/>
    <n v="0.21423101678445278"/>
    <n v="994"/>
    <m/>
    <m/>
    <n v="435.75798750000007"/>
    <n v="136.60125000000002"/>
    <n v="3.19"/>
    <n v="520.64512500000001"/>
    <n v="135.23249999999999"/>
    <n v="3.85"/>
    <n v="467.40896250000003"/>
    <n v="137.87875"/>
    <n v="3.39"/>
    <n v="545.78632499999969"/>
    <n v="149.83249999999995"/>
    <n v="3.6426431181485985"/>
    <n v="1969.5983999999999"/>
    <n v="559.54499999999996"/>
    <n v="3.52"/>
    <n v="2889.6338249999999"/>
    <n v="30.842499999999998"/>
    <n v="93.69"/>
    <n v="2757.5640499999995"/>
    <n v="29.473749999999995"/>
    <n v="93.56"/>
    <n v="2872.413125"/>
    <n v="28.6525"/>
    <n v="100.25"/>
    <n v="3006.2495000000008"/>
    <n v="31.481249999999992"/>
    <n v="95.493333333333382"/>
    <n v="11525.860499999999"/>
    <n v="120.44999999999999"/>
    <n v="95.69"/>
    <n v="283.41337499999997"/>
    <n v="9.5812499999999989"/>
    <n v="29.58"/>
    <n v="283.40424999999999"/>
    <n v="9.6724999999999994"/>
    <n v="29.3"/>
    <n v="312.06131249999999"/>
    <n v="9.5812499999999989"/>
    <n v="32.57"/>
    <n v="339.08226249999996"/>
    <n v="9.8550000000000022"/>
    <n v="34.407129629629615"/>
    <n v="1217.9612"/>
    <n v="38.69"/>
    <n v="31.48"/>
    <n v="97.98"/>
    <n v="3.73"/>
    <n v="9.94"/>
    <n v="3.49"/>
    <n v="4.01"/>
    <n v="3.56"/>
    <n v="3.85"/>
    <n v="9.77"/>
    <n v="9.39"/>
    <n v="10.01"/>
    <n v="10.53"/>
    <n v="94.33"/>
    <n v="94.05"/>
    <n v="105.83"/>
    <n v="97.44"/>
  </r>
  <r>
    <x v="5"/>
    <s v="COP"/>
    <x v="7"/>
    <n v="679"/>
    <n v="132"/>
    <n v="40"/>
    <n v="285.16666666666669"/>
    <n v="1711"/>
    <n v="950"/>
    <n v="90"/>
    <n v="64"/>
    <n v="312.33333333333337"/>
    <n v="1874"/>
    <n v="597.5"/>
    <n v="3585"/>
    <n v="0.47726638772663876"/>
    <n v="0.39684395090590296"/>
    <n v="0.46288720046756282"/>
    <n v="0.14026884862653419"/>
    <n v="476"/>
    <n v="103"/>
    <n v="1079"/>
    <n v="4553"/>
    <n v="368"/>
    <n v="758.83333333333337"/>
    <n v="61.333333333333371"/>
    <n v="8.7933094384707339E-2"/>
    <m/>
    <n v="506"/>
    <n v="263"/>
    <n v="0"/>
    <n v="0"/>
    <n v="769"/>
    <n v="19"/>
    <n v="132"/>
    <n v="0"/>
    <n v="8"/>
    <n v="159"/>
    <n v="-13"/>
    <n v="26"/>
    <n v="0"/>
    <n v="0"/>
    <n v="13"/>
    <n v="1801"/>
    <n v="300.16666666666663"/>
    <n v="159"/>
    <n v="10"/>
    <n v="1477"/>
    <n v="6144"/>
    <n v="7790"/>
    <n v="20949"/>
    <n v="1076.6666666666665"/>
    <n v="6460"/>
    <n v="19.457275541795667"/>
    <n v="3.2428792569659444"/>
    <m/>
    <n v="4346"/>
    <n v="735"/>
    <n v="0"/>
    <n v="350.79079497907946"/>
    <n v="4203"/>
    <n v="0"/>
    <n v="2005.9506276150628"/>
    <n v="0"/>
    <n v="1542"/>
    <n v="1542"/>
    <n v="1136"/>
    <n v="0"/>
    <n v="542.17461645746164"/>
    <n v="52524"/>
    <n v="52524"/>
    <n v="0.47726638772663876"/>
    <n v="8786.9160390516045"/>
    <n v="30.813264894394869"/>
    <n v="5.1355441490658125"/>
    <m/>
    <n v="16576.916039051604"/>
    <n v="1657.6916039051605"/>
    <n v="0.21279738175932741"/>
    <n v="5.8130623164412407"/>
    <n v="0.96884371940687342"/>
    <n v="27.317358270017532"/>
    <n v="4.5528930450029224"/>
    <n v="50.270540436190537"/>
    <n v="56.083602752631776"/>
    <n v="77.587898706208065"/>
    <n v="8.3784234060317573"/>
    <n v="9.3472671254386306"/>
    <n v="12.931316451034679"/>
    <n v="4"/>
    <n v="5.0270540436190538"/>
    <n v="1433.5482447720335"/>
    <n v="0.18402416492580662"/>
    <n v="1299"/>
    <m/>
    <m/>
    <n v="683.04092500000002"/>
    <n v="134.456875"/>
    <n v="5.08"/>
    <n v="604.33506250000005"/>
    <n v="136.41875000000002"/>
    <n v="4.43"/>
    <n v="553.94955000000004"/>
    <n v="139.88625000000002"/>
    <n v="3.96"/>
    <n v="586.94646250000028"/>
    <n v="151.33812499999999"/>
    <n v="3.8783780524570415"/>
    <n v="2428.2720000000004"/>
    <n v="562.1"/>
    <n v="4.32"/>
    <n v="2739.1936000000001"/>
    <n v="29.93"/>
    <n v="91.52"/>
    <n v="3087.5833625"/>
    <n v="32.941249999999997"/>
    <n v="93.73"/>
    <n v="2647.189875"/>
    <n v="30.112500000000001"/>
    <n v="87.91"/>
    <n v="2465.2656624999986"/>
    <n v="34.766249999999992"/>
    <n v="70.909737532808379"/>
    <n v="10939.232499999998"/>
    <n v="127.74999999999999"/>
    <n v="85.63"/>
    <n v="352.080825"/>
    <n v="9.7637499999999999"/>
    <n v="36.06"/>
    <n v="331.09880000000004"/>
    <n v="10.585000000000001"/>
    <n v="31.28"/>
    <n v="313.44739999999996"/>
    <n v="10.219999999999999"/>
    <n v="30.67"/>
    <n v="237.58397499999978"/>
    <n v="9.5812499999999989"/>
    <n v="24.796761904761883"/>
    <n v="1234.2109999999998"/>
    <n v="40.15"/>
    <n v="30.74"/>
    <n v="93.17"/>
    <n v="4.37"/>
    <n v="9.56"/>
    <n v="5.21"/>
    <n v="4.6100000000000003"/>
    <n v="3.96"/>
    <n v="3.8"/>
    <n v="11.19"/>
    <n v="10.15"/>
    <n v="9.83"/>
    <n v="7.41"/>
    <n v="98.68"/>
    <n v="103.35"/>
    <n v="97.87"/>
    <n v="73.209999999999994"/>
  </r>
  <r>
    <x v="5"/>
    <s v="COP"/>
    <x v="8"/>
    <n v="671"/>
    <n v="135"/>
    <n v="41"/>
    <n v="287.83333333333331"/>
    <n v="1727"/>
    <n v="972"/>
    <n v="87"/>
    <n v="74"/>
    <n v="323"/>
    <n v="1938"/>
    <n v="610.83333333333326"/>
    <n v="3665"/>
    <n v="0.47121418826739425"/>
    <n v="0.38853503184713378"/>
    <n v="0.46902142443543721"/>
    <n v="0.14244354371742907"/>
    <n v="401"/>
    <n v="86"/>
    <n v="747"/>
    <n v="3669"/>
    <n v="-884"/>
    <n v="611.5"/>
    <n v="-147.33333333333337"/>
    <n v="-0.19415769822095325"/>
    <m/>
    <n v="-1177"/>
    <n v="107"/>
    <n v="0"/>
    <n v="0"/>
    <n v="-1070"/>
    <n v="-184"/>
    <n v="77"/>
    <n v="0"/>
    <n v="8"/>
    <n v="-99"/>
    <n v="-85"/>
    <n v="10"/>
    <n v="0"/>
    <n v="0"/>
    <n v="-75"/>
    <n v="-2114"/>
    <n v="-352.33333333333337"/>
    <n v="168"/>
    <n v="5"/>
    <n v="1456"/>
    <n v="4092"/>
    <n v="5721"/>
    <n v="20136"/>
    <n v="461.66666666666663"/>
    <n v="2770"/>
    <n v="43.615884476534298"/>
    <n v="7.2693140794223829"/>
    <m/>
    <n v="4261"/>
    <n v="953"/>
    <n v="0"/>
    <n v="449.06712141882673"/>
    <n v="523"/>
    <n v="0"/>
    <n v="246.44502046384719"/>
    <n v="0"/>
    <n v="639"/>
    <n v="639"/>
    <n v="1214"/>
    <n v="0"/>
    <n v="572.05402455661658"/>
    <n v="29564"/>
    <n v="29564"/>
    <n v="0.47121418826739425"/>
    <n v="6167.5661664392901"/>
    <n v="21.427560508764181"/>
    <n v="3.5712600847940301"/>
    <m/>
    <n v="11888.56616643929"/>
    <n v="1188.8566166439291"/>
    <n v="0.20780573617268469"/>
    <n v="4.1303646206505933"/>
    <n v="0.68839410344176555"/>
    <n v="19.87608569774175"/>
    <n v="3.3126809496236249"/>
    <n v="65.043444985298478"/>
    <n v="69.173809605949074"/>
    <n v="84.919530683040222"/>
    <n v="10.840574164216413"/>
    <n v="11.528968267658179"/>
    <n v="14.153255113840038"/>
    <n v="4"/>
    <n v="6.5043444985298482"/>
    <n v="1872.1671581601745"/>
    <n v="0.32724474010840315"/>
    <n v="1260"/>
    <m/>
    <m/>
    <n v="369.39824999999996"/>
    <n v="142.07624999999999"/>
    <n v="2.6"/>
    <n v="334.88384999999994"/>
    <n v="140.70749999999998"/>
    <n v="2.38"/>
    <n v="360.54243750000001"/>
    <n v="136.05375000000001"/>
    <n v="2.65"/>
    <n v="306.43301250000013"/>
    <n v="136.32750000000001"/>
    <n v="2.2477710843373502"/>
    <n v="1371.25755"/>
    <n v="555.16499999999996"/>
    <n v="2.4700000000000002"/>
    <n v="1361.6160750000001"/>
    <n v="33.397500000000001"/>
    <n v="40.770000000000003"/>
    <n v="1722.7662375"/>
    <n v="33.123750000000001"/>
    <n v="52.01"/>
    <n v="1353.86895"/>
    <n v="32.576250000000002"/>
    <n v="41.56"/>
    <n v="1177.7409374999995"/>
    <n v="33.762499999999982"/>
    <n v="34.883108108108111"/>
    <n v="5615.9921999999997"/>
    <n v="132.85999999999999"/>
    <n v="42.27"/>
    <n v="151.8263125"/>
    <n v="9.7637499999999999"/>
    <n v="15.55"/>
    <n v="157.65901250000002"/>
    <n v="10.311250000000001"/>
    <n v="15.29"/>
    <n v="120.2446875"/>
    <n v="9.5812499999999989"/>
    <n v="12.55"/>
    <n v="132.77148749999995"/>
    <n v="10.49375"/>
    <n v="12.65243478260869"/>
    <n v="562.50149999999996"/>
    <n v="40.15"/>
    <n v="14.01"/>
    <n v="48.66"/>
    <n v="2.62"/>
    <n v="4.97"/>
    <n v="2.9"/>
    <n v="2.75"/>
    <n v="2.76"/>
    <n v="2.12"/>
    <n v="5.43"/>
    <n v="5.2"/>
    <n v="4.68"/>
    <n v="4.5999999999999996"/>
    <n v="48.49"/>
    <n v="57.85"/>
    <n v="46.64"/>
    <n v="41.94"/>
  </r>
  <r>
    <x v="5"/>
    <s v="COP"/>
    <x v="9"/>
    <n v="567"/>
    <n v="131"/>
    <n v="36"/>
    <n v="261.5"/>
    <n v="1569"/>
    <n v="994"/>
    <n v="87"/>
    <n v="84"/>
    <n v="336.66666666666663"/>
    <n v="2020"/>
    <n v="598.16666666666663"/>
    <n v="3589"/>
    <n v="0.43716912789077739"/>
    <n v="0.36137667304015297"/>
    <n v="0.50095602294455066"/>
    <n v="0.13766730401529637"/>
    <n v="340"/>
    <n v="69"/>
    <n v="523"/>
    <n v="2977"/>
    <n v="-692"/>
    <n v="496.16666666666669"/>
    <n v="-115.33333333333331"/>
    <n v="-0.18860724993186151"/>
    <m/>
    <n v="-229"/>
    <n v="164"/>
    <n v="0"/>
    <n v="0"/>
    <n v="-65"/>
    <n v="-150"/>
    <n v="112"/>
    <n v="9"/>
    <n v="0"/>
    <n v="-29"/>
    <n v="-32"/>
    <n v="18"/>
    <n v="0"/>
    <n v="0"/>
    <n v="-14"/>
    <n v="-323"/>
    <n v="-53.833333333333336"/>
    <n v="127"/>
    <n v="5"/>
    <n v="766"/>
    <n v="1502"/>
    <n v="2400"/>
    <n v="15911"/>
    <n v="-106.00000000000009"/>
    <n v="-636"/>
    <n v="-150.10377358490555"/>
    <n v="-25.017295597484278"/>
    <m/>
    <n v="3699"/>
    <n v="723"/>
    <n v="0"/>
    <n v="316.07327946503204"/>
    <n v="-318"/>
    <n v="0"/>
    <n v="-139.01978266926722"/>
    <n v="0"/>
    <n v="539"/>
    <n v="539"/>
    <n v="1402"/>
    <n v="0"/>
    <n v="612.91111730286991"/>
    <n v="23693"/>
    <n v="23693"/>
    <n v="0.43716912789077739"/>
    <n v="5027.9646140986351"/>
    <n v="19.227398141868587"/>
    <n v="3.2045663569780976"/>
    <m/>
    <n v="7427.9646140986351"/>
    <n v="742.79646140986358"/>
    <n v="0.30949852558744317"/>
    <n v="2.8405218409555011"/>
    <n v="0.4734203068259169"/>
    <n v="9.1778202676864247"/>
    <n v="1.5296367112810707"/>
    <n v="-130.87637544303698"/>
    <n v="-128.03585360208149"/>
    <n v="-121.69855517535055"/>
    <n v="-21.812729240506179"/>
    <n v="-21.339308933680261"/>
    <n v="-20.283092529225108"/>
    <n v="4"/>
    <n v="-13.087637544303698"/>
    <n v="-3422.417217835417"/>
    <n v="-1.4260071740980904"/>
    <n v="1063"/>
    <m/>
    <m/>
    <n v="205.96949999999998"/>
    <n v="114.42749999999999"/>
    <n v="1.8"/>
    <n v="197.16387499999999"/>
    <n v="115.97874999999999"/>
    <n v="1.7"/>
    <n v="293.53117499999996"/>
    <n v="113.3325"/>
    <n v="2.59"/>
    <n v="302.26745000000017"/>
    <n v="110.32125000000001"/>
    <n v="2.7398842018196872"/>
    <n v="998.93200000000013"/>
    <n v="454.06"/>
    <n v="2.2000000000000002"/>
    <n v="917.87279999999998"/>
    <n v="33.945"/>
    <n v="27.04"/>
    <n v="1330.014375"/>
    <n v="33.671250000000001"/>
    <n v="39.5"/>
    <n v="1254.7668874999999"/>
    <n v="31.298749999999998"/>
    <n v="40.090000000000003"/>
    <n v="1396.1642375000001"/>
    <n v="31.754999999999988"/>
    <n v="43.966752873563237"/>
    <n v="4898.8182999999999"/>
    <n v="130.66999999999999"/>
    <n v="37.49"/>
    <n v="86.231249999999989"/>
    <n v="9.125"/>
    <n v="9.4499999999999993"/>
    <n v="134.46508749999998"/>
    <n v="9.2162499999999987"/>
    <n v="14.59"/>
    <n v="136.93978749999999"/>
    <n v="9.3987499999999997"/>
    <n v="14.57"/>
    <n v="165.77387500000003"/>
    <n v="8.7600000000000016"/>
    <n v="18.923958333333335"/>
    <n v="523.41"/>
    <n v="36.5"/>
    <n v="14.34"/>
    <n v="43.2"/>
    <n v="2.52"/>
    <n v="5.04"/>
    <n v="1.99"/>
    <n v="2.15"/>
    <n v="2.88"/>
    <n v="3.04"/>
    <n v="4.0199999999999996"/>
    <n v="5"/>
    <n v="5.04"/>
    <n v="6.05"/>
    <n v="33.35"/>
    <n v="45.46"/>
    <n v="44.85"/>
    <n v="49.14"/>
  </r>
  <r>
    <x v="6"/>
    <s v="CLR"/>
    <x v="0"/>
    <n v="17.151"/>
    <n v="9.1470000000000002"/>
    <n v="0"/>
    <n v="12.0055"/>
    <n v="72.033000000000001"/>
    <n v="0"/>
    <n v="0"/>
    <n v="0"/>
    <n v="0"/>
    <n v="0"/>
    <n v="12.0055"/>
    <n v="72.033000000000001"/>
    <n v="1"/>
    <n v="0.23809920453125649"/>
    <n v="0.76190079546874356"/>
    <n v="0"/>
    <n v="24.388999999999999"/>
    <n v="0"/>
    <n v="53.988"/>
    <n v="200.322"/>
    <m/>
    <n v="33.387"/>
    <m/>
    <m/>
    <m/>
    <n v="7.4340000000000002"/>
    <n v="64.988"/>
    <n v="6.6000000000000003E-2"/>
    <n v="0"/>
    <n v="72.488"/>
    <n v="2.1339999999999999"/>
    <n v="12.744999999999999"/>
    <n v="5.5E-2"/>
    <n v="0"/>
    <n v="14.933999999999999"/>
    <n v="0"/>
    <n v="0"/>
    <n v="0"/>
    <n v="0"/>
    <n v="0"/>
    <n v="162.09199999999998"/>
    <n v="27.015333333333331"/>
    <n v="21.728999999999999"/>
    <n v="4.1660000000000004"/>
    <n v="181.64700000000002"/>
    <n v="316.33999999999997"/>
    <n v="523.88200000000006"/>
    <m/>
    <m/>
    <m/>
    <m/>
    <m/>
    <m/>
    <m/>
    <m/>
    <m/>
    <m/>
    <m/>
    <m/>
    <m/>
    <m/>
    <m/>
    <m/>
    <m/>
    <m/>
    <m/>
    <n v="0"/>
    <n v="0"/>
    <m/>
    <m/>
    <m/>
    <m/>
    <m/>
    <m/>
    <m/>
    <m/>
    <m/>
    <m/>
    <m/>
    <m/>
    <m/>
    <m/>
    <m/>
    <m/>
    <m/>
    <m/>
    <m/>
    <m/>
    <m/>
    <m/>
    <m/>
    <m/>
    <m/>
    <m/>
    <m/>
    <m/>
    <m/>
    <m/>
    <m/>
    <m/>
    <m/>
    <m/>
    <m/>
    <m/>
    <m/>
    <m/>
    <m/>
    <m/>
    <m/>
    <m/>
    <m/>
    <m/>
    <m/>
    <m/>
    <m/>
    <m/>
    <m/>
    <m/>
    <m/>
    <m/>
    <m/>
    <m/>
    <m/>
    <m/>
    <m/>
    <m/>
    <m/>
    <m/>
    <m/>
    <m/>
    <m/>
    <m/>
    <m/>
    <m/>
    <m/>
    <m/>
    <m/>
    <m/>
    <n v="72.34"/>
    <n v="6.97"/>
    <n v="12.91"/>
    <m/>
    <m/>
    <m/>
    <m/>
    <m/>
    <m/>
    <m/>
    <m/>
    <m/>
    <m/>
    <m/>
    <m/>
  </r>
  <r>
    <x v="6"/>
    <s v="CLR"/>
    <x v="1"/>
    <n v="21.606000000000002"/>
    <n v="10.022"/>
    <n v="0"/>
    <n v="13.623000000000001"/>
    <n v="81.738"/>
    <n v="0"/>
    <n v="0"/>
    <n v="0"/>
    <n v="0"/>
    <n v="0"/>
    <n v="13.623000000000001"/>
    <n v="81.738"/>
    <n v="1"/>
    <n v="0.26433237906481688"/>
    <n v="0.73566762093518312"/>
    <n v="0"/>
    <n v="25.852"/>
    <n v="0"/>
    <n v="164.602"/>
    <n v="319.714"/>
    <n v="119.392"/>
    <n v="53.285666666666671"/>
    <n v="19.898666666666671"/>
    <n v="0.59600043929273883"/>
    <m/>
    <n v="-16.178999999999998"/>
    <n v="167.28800000000001"/>
    <n v="1.361"/>
    <n v="0"/>
    <n v="152.47"/>
    <n v="-10.526999999999999"/>
    <n v="19.765000000000001"/>
    <n v="2.0030000000000001"/>
    <n v="0"/>
    <n v="11.241000000000001"/>
    <n v="0"/>
    <n v="0"/>
    <n v="0"/>
    <n v="0"/>
    <n v="0"/>
    <n v="219.916"/>
    <n v="36.652666666666669"/>
    <n v="199.62100000000001"/>
    <n v="74.662999999999997"/>
    <n v="234.57599999999999"/>
    <n v="468.56799999999998"/>
    <n v="977.428"/>
    <m/>
    <m/>
    <m/>
    <m/>
    <m/>
    <m/>
    <m/>
    <m/>
    <m/>
    <m/>
    <m/>
    <m/>
    <m/>
    <m/>
    <m/>
    <m/>
    <m/>
    <m/>
    <m/>
    <n v="0"/>
    <n v="0"/>
    <m/>
    <m/>
    <m/>
    <m/>
    <m/>
    <m/>
    <m/>
    <m/>
    <m/>
    <m/>
    <m/>
    <m/>
    <m/>
    <m/>
    <m/>
    <m/>
    <m/>
    <m/>
    <m/>
    <m/>
    <m/>
    <m/>
    <m/>
    <m/>
    <m/>
    <m/>
    <m/>
    <m/>
    <m/>
    <m/>
    <m/>
    <m/>
    <m/>
    <m/>
    <m/>
    <m/>
    <m/>
    <m/>
    <m/>
    <m/>
    <m/>
    <m/>
    <m/>
    <m/>
    <m/>
    <m/>
    <m/>
    <m/>
    <m/>
    <m/>
    <m/>
    <m/>
    <m/>
    <m/>
    <m/>
    <m/>
    <m/>
    <m/>
    <m/>
    <m/>
    <m/>
    <m/>
    <m/>
    <m/>
    <m/>
    <m/>
    <m/>
    <m/>
    <m/>
    <m/>
    <n v="99.67"/>
    <n v="8.86"/>
    <n v="15.2"/>
    <m/>
    <m/>
    <m/>
    <m/>
    <m/>
    <m/>
    <m/>
    <m/>
    <m/>
    <m/>
    <m/>
    <m/>
  </r>
  <r>
    <x v="6"/>
    <s v="CLR"/>
    <x v="2"/>
    <n v="21.606000000000002"/>
    <n v="10.022"/>
    <n v="0"/>
    <n v="13.623000000000001"/>
    <n v="81.738"/>
    <n v="0"/>
    <n v="0"/>
    <n v="0"/>
    <n v="0"/>
    <n v="0"/>
    <n v="13.623000000000001"/>
    <n v="81.738"/>
    <n v="1"/>
    <n v="0.26433237906481688"/>
    <n v="0.73566762093518312"/>
    <n v="0"/>
    <n v="88.01"/>
    <n v="0"/>
    <n v="334.298"/>
    <n v="862.35800000000006"/>
    <n v="542.64400000000001"/>
    <n v="143.72633333333334"/>
    <n v="90.440666666666672"/>
    <n v="1.6972794435026304"/>
    <m/>
    <n v="-2.4849999999999999"/>
    <n v="210.029"/>
    <n v="4.0000000000000001E-3"/>
    <n v="0"/>
    <n v="207.54799999999997"/>
    <n v="1.609"/>
    <n v="75.45"/>
    <n v="4.0000000000000001E-3"/>
    <n v="0"/>
    <n v="77.063000000000002"/>
    <n v="0"/>
    <n v="0"/>
    <n v="0"/>
    <n v="0"/>
    <n v="0"/>
    <n v="669.92600000000004"/>
    <n v="111.65433333333334"/>
    <n v="73.272999999999996"/>
    <n v="1.2170000000000001"/>
    <n v="98.072000000000003"/>
    <n v="259.548"/>
    <n v="432.11"/>
    <n v="1933.42"/>
    <n v="175.32233333333335"/>
    <n v="1051.934"/>
    <n v="11.027802124467884"/>
    <n v="1.8379670207446477"/>
    <m/>
    <n v="93.242000000000004"/>
    <n v="41.094000000000001"/>
    <m/>
    <n v="39.978945777729635"/>
    <n v="0.14599999999999999"/>
    <m/>
    <n v="0.14203840179949689"/>
    <m/>
    <n v="45.645000000000003"/>
    <n v="45.645000000000003"/>
    <n v="20.544609999999999"/>
    <m/>
    <n v="19.987147739684673"/>
    <n v="610.69799999999998"/>
    <n v="627.73099999999999"/>
    <n v="0.97286576574997885"/>
    <n v="198.9951319192138"/>
    <n v="14.607291486399015"/>
    <n v="2.4345485810665028"/>
    <m/>
    <n v="631.10513191921382"/>
    <n v="63.110513191921385"/>
    <n v="0.14605196175029828"/>
    <n v="4.6326442921472051"/>
    <n v="0.77210738202453433"/>
    <n v="31.719151435073037"/>
    <n v="5.2865252391788395"/>
    <n v="25.6350936108669"/>
    <n v="30.267737903014105"/>
    <n v="57.354245045939933"/>
    <n v="4.2725156018111505"/>
    <n v="5.0446229838356853"/>
    <n v="9.5590408409899901"/>
    <n v="4"/>
    <n v="2.5635093610866901"/>
    <n v="34.922688026083982"/>
    <n v="8.0818976709828474E-2"/>
    <n v="22.9"/>
    <m/>
    <m/>
    <m/>
    <m/>
    <m/>
    <m/>
    <m/>
    <m/>
    <m/>
    <m/>
    <m/>
    <m/>
    <m/>
    <m/>
    <m/>
    <m/>
    <m/>
    <m/>
    <m/>
    <m/>
    <m/>
    <m/>
    <m/>
    <m/>
    <m/>
    <m/>
    <m/>
    <m/>
    <m/>
    <m/>
    <m/>
    <m/>
    <m/>
    <m/>
    <m/>
    <m/>
    <m/>
    <m/>
    <m/>
    <m/>
    <m/>
    <m/>
    <m/>
    <m/>
    <m/>
    <m/>
    <m/>
    <n v="61.95"/>
    <n v="3.94"/>
    <n v="8.99"/>
    <m/>
    <m/>
    <m/>
    <m/>
    <m/>
    <m/>
    <m/>
    <m/>
    <m/>
    <m/>
    <m/>
    <m/>
  </r>
  <r>
    <x v="6"/>
    <s v="CLR"/>
    <x v="3"/>
    <n v="23.943000000000001"/>
    <n v="11.82"/>
    <n v="0"/>
    <n v="15.810500000000001"/>
    <n v="94.863"/>
    <n v="0"/>
    <n v="0"/>
    <n v="0"/>
    <n v="0"/>
    <n v="0"/>
    <n v="15.810500000000001"/>
    <n v="94.863"/>
    <n v="1"/>
    <n v="0.25239555991271623"/>
    <n v="0.74760444008728377"/>
    <n v="0"/>
    <n v="123.512"/>
    <n v="0"/>
    <n v="604.86900000000003"/>
    <n v="1345.941"/>
    <n v="483.58299999999997"/>
    <n v="224.32350000000002"/>
    <n v="80.597166666666681"/>
    <n v="0.56076826561590432"/>
    <m/>
    <n v="79.284999999999997"/>
    <n v="280.14600000000002"/>
    <n v="0"/>
    <n v="0"/>
    <n v="359.43100000000004"/>
    <n v="14.414"/>
    <n v="48.542000000000002"/>
    <n v="0.36799999999999999"/>
    <n v="0"/>
    <n v="63.324000000000005"/>
    <n v="0"/>
    <n v="0"/>
    <n v="0"/>
    <n v="0"/>
    <n v="0"/>
    <n v="739.375"/>
    <n v="123.22916666666669"/>
    <n v="340.06400000000002"/>
    <n v="7.3380000000000001"/>
    <n v="288.57499999999999"/>
    <n v="560.851"/>
    <n v="1196.828"/>
    <n v="2606.366"/>
    <n v="271.5361666666667"/>
    <n v="1629.2170000000001"/>
    <n v="9.5985961354442022"/>
    <n v="1.599766022574034"/>
    <m/>
    <n v="93.203000000000003"/>
    <n v="49.09"/>
    <m/>
    <n v="48.011700189827678"/>
    <n v="10.879"/>
    <m/>
    <n v="10.640034352518542"/>
    <m/>
    <n v="76.659000000000006"/>
    <n v="76.659000000000006"/>
    <n v="70.951176250000003"/>
    <m/>
    <n v="69.392678798749685"/>
    <n v="948.524"/>
    <n v="969.827"/>
    <n v="0.9780342267229104"/>
    <n v="297.90641334109591"/>
    <n v="18.842314496132058"/>
    <n v="3.1403857493553433"/>
    <m/>
    <n v="1494.7344133410959"/>
    <n v="149.47344133410959"/>
    <n v="0.12489133052878909"/>
    <n v="9.4540616257619678"/>
    <n v="1.5756769376269946"/>
    <n v="75.698301761487613"/>
    <n v="12.616383626914603"/>
    <n v="28.440910631576259"/>
    <n v="37.894972257338225"/>
    <n v="104.13921239306387"/>
    <n v="4.7401517719293773"/>
    <n v="6.3158287095563717"/>
    <n v="17.356535398843981"/>
    <n v="4"/>
    <n v="2.8440910631576259"/>
    <n v="44.966501754053645"/>
    <n v="3.7571398525146175E-2"/>
    <n v="92.8"/>
    <m/>
    <m/>
    <m/>
    <m/>
    <m/>
    <m/>
    <m/>
    <m/>
    <m/>
    <m/>
    <m/>
    <m/>
    <m/>
    <m/>
    <m/>
    <m/>
    <m/>
    <m/>
    <m/>
    <m/>
    <m/>
    <m/>
    <m/>
    <m/>
    <m/>
    <m/>
    <m/>
    <m/>
    <m/>
    <m/>
    <m/>
    <m/>
    <m/>
    <m/>
    <m/>
    <m/>
    <m/>
    <m/>
    <m/>
    <m/>
    <m/>
    <m/>
    <m/>
    <m/>
    <m/>
    <m/>
    <m/>
    <n v="79.48"/>
    <n v="4.37"/>
    <n v="11.83"/>
    <m/>
    <m/>
    <m/>
    <m/>
    <m/>
    <m/>
    <m/>
    <m/>
    <m/>
    <m/>
    <m/>
    <m/>
  </r>
  <r>
    <x v="6"/>
    <s v="CLR"/>
    <x v="4"/>
    <n v="36.670999999999999"/>
    <n v="16.469000000000001"/>
    <n v="0"/>
    <n v="22.580833333333334"/>
    <n v="135.48500000000001"/>
    <n v="0"/>
    <n v="0"/>
    <n v="0"/>
    <n v="0"/>
    <n v="0"/>
    <n v="22.580833333333334"/>
    <n v="135.48500000000001"/>
    <n v="1"/>
    <n v="0.27066464922316119"/>
    <n v="0.72933535077683875"/>
    <n v="0"/>
    <n v="181.10900000000001"/>
    <n v="0"/>
    <n v="732.56700000000001"/>
    <n v="1819.221"/>
    <n v="473.28"/>
    <n v="303.20350000000002"/>
    <n v="78.88"/>
    <n v="0.35163502709256939"/>
    <m/>
    <n v="-158.21899999999999"/>
    <n v="447.09800000000001"/>
    <n v="2.056"/>
    <n v="0"/>
    <n v="290.935"/>
    <n v="28.606999999999999"/>
    <n v="87.465000000000003"/>
    <n v="1.746"/>
    <n v="0"/>
    <n v="117.818"/>
    <n v="0"/>
    <n v="0"/>
    <n v="0"/>
    <n v="0"/>
    <n v="0"/>
    <n v="997.84300000000007"/>
    <n v="166.30716666666666"/>
    <n v="183.24700000000001"/>
    <n v="65.314999999999998"/>
    <n v="733.09699999999998"/>
    <n v="1174.4359999999999"/>
    <n v="2156.0949999999998"/>
    <n v="3785.0329999999999"/>
    <n v="401.19066666666669"/>
    <n v="2407.1440000000002"/>
    <n v="9.4344991408906154"/>
    <n v="1.5724165234817691"/>
    <m/>
    <n v="138.23599999999999"/>
    <n v="72.816999999999993"/>
    <m/>
    <n v="71.411713107454403"/>
    <n v="16.03"/>
    <m/>
    <n v="15.720638877082196"/>
    <m/>
    <n v="144.81"/>
    <n v="144.81"/>
    <n v="69.38866625"/>
    <m/>
    <n v="68.049542375460462"/>
    <n v="1647.4190000000001"/>
    <n v="1679.8380000000002"/>
    <n v="0.98070111522658732"/>
    <n v="438.22789435999709"/>
    <n v="19.407073596043713"/>
    <n v="3.2345122660072851"/>
    <m/>
    <n v="2594.322894359997"/>
    <n v="259.43228943599973"/>
    <n v="0.12032507354082253"/>
    <n v="11.489048504380547"/>
    <n v="1.9148414173967576"/>
    <n v="95.483411447761725"/>
    <n v="15.913901907960287"/>
    <n v="28.841572736934328"/>
    <n v="40.330621241314873"/>
    <n v="124.32498418469605"/>
    <n v="4.8069287894890547"/>
    <n v="6.7217702068858127"/>
    <n v="20.720830697449344"/>
    <n v="4"/>
    <n v="2.8841572736934329"/>
    <n v="65.126674704392457"/>
    <n v="3.0205846544049526E-2"/>
    <n v="128.1"/>
    <m/>
    <m/>
    <m/>
    <m/>
    <m/>
    <m/>
    <m/>
    <m/>
    <m/>
    <m/>
    <m/>
    <m/>
    <m/>
    <m/>
    <m/>
    <m/>
    <m/>
    <m/>
    <m/>
    <m/>
    <m/>
    <m/>
    <m/>
    <m/>
    <m/>
    <m/>
    <m/>
    <m/>
    <m/>
    <m/>
    <m/>
    <m/>
    <m/>
    <m/>
    <m/>
    <m/>
    <m/>
    <m/>
    <m/>
    <m/>
    <m/>
    <m/>
    <m/>
    <m/>
    <m/>
    <m/>
    <m/>
    <n v="94.88"/>
    <n v="4"/>
    <n v="15.12"/>
    <m/>
    <m/>
    <m/>
    <m/>
    <m/>
    <m/>
    <m/>
    <m/>
    <m/>
    <m/>
    <m/>
    <m/>
  </r>
  <r>
    <x v="6"/>
    <s v="CLR"/>
    <x v="5"/>
    <n v="63.875"/>
    <n v="25.07"/>
    <n v="0"/>
    <n v="35.715833333333336"/>
    <n v="214.29500000000002"/>
    <n v="0"/>
    <n v="0"/>
    <n v="0"/>
    <n v="0"/>
    <n v="0"/>
    <n v="35.715833333333336"/>
    <n v="214.29500000000002"/>
    <n v="1"/>
    <n v="0.29807041694859887"/>
    <n v="0.70192958305140107"/>
    <n v="0"/>
    <n v="334.29300000000001"/>
    <n v="0"/>
    <n v="795.58500000000004"/>
    <n v="2801.3429999999998"/>
    <n v="982.12199999999984"/>
    <n v="466.89049999999997"/>
    <n v="163.68699999999995"/>
    <n v="0.5398585438492628"/>
    <m/>
    <n v="-174.73599999999999"/>
    <n v="400.84800000000001"/>
    <n v="89.061000000000007"/>
    <n v="0"/>
    <n v="315.173"/>
    <n v="33.271999999999998"/>
    <n v="166.84399999999999"/>
    <n v="67.149000000000001"/>
    <n v="0"/>
    <n v="267.26499999999999"/>
    <n v="0"/>
    <n v="0"/>
    <n v="0"/>
    <n v="0"/>
    <n v="0"/>
    <n v="1918.7629999999999"/>
    <n v="319.79383333333334"/>
    <n v="745.601"/>
    <n v="738.41499999999996"/>
    <n v="854.38100000000009"/>
    <n v="1974.66"/>
    <n v="4313.0569999999998"/>
    <n v="7665.98"/>
    <n v="609.33016666666663"/>
    <n v="3655.9809999999998"/>
    <n v="12.580995360752695"/>
    <n v="2.0968325601254492"/>
    <m/>
    <n v="195.44"/>
    <n v="121.735"/>
    <m/>
    <n v="119.76836765827139"/>
    <n v="0.82899999999999996"/>
    <m/>
    <n v="0.81560748173250897"/>
    <m/>
    <n v="228.43799999999999"/>
    <n v="228.43799999999999"/>
    <n v="177.1678919"/>
    <m/>
    <n v="174.30573963379538"/>
    <n v="2379.433"/>
    <n v="2418.5039999999999"/>
    <n v="0.98384497193306275"/>
    <n v="718.7677147737993"/>
    <n v="20.124623946628692"/>
    <n v="3.3541039911047821"/>
    <m/>
    <n v="5031.8247147737993"/>
    <n v="503.18247147737998"/>
    <n v="0.11666492501197642"/>
    <n v="14.088498699756316"/>
    <n v="2.3480831166260527"/>
    <n v="120.76036305093444"/>
    <n v="20.12672717515574"/>
    <n v="32.705619307381383"/>
    <n v="46.794118007137698"/>
    <n v="153.46598235831584"/>
    <n v="5.4509365512302317"/>
    <n v="7.7990196678562844"/>
    <n v="25.577663726385971"/>
    <n v="4"/>
    <n v="3.2705619307381384"/>
    <n v="116.81084482458823"/>
    <n v="2.7083074678722827E-2"/>
    <n v="92.7"/>
    <m/>
    <m/>
    <n v="62.853408800000004"/>
    <n v="14.02977875"/>
    <n v="4.4800000000000004"/>
    <n v="56.841742912499996"/>
    <n v="16.194228750000001"/>
    <n v="3.51"/>
    <n v="67.297605000000004"/>
    <n v="16.824401250000001"/>
    <n v="4"/>
    <n v="51.260993287499986"/>
    <n v="16.82659125"/>
    <n v="3.0464276766394969"/>
    <n v="238.25375"/>
    <n v="63.875"/>
    <n v="3.73"/>
    <n v="495.10722292500003"/>
    <n v="5.4659662500000001"/>
    <n v="90.58"/>
    <n v="479.8357014"/>
    <n v="5.9562524999999997"/>
    <n v="80.56"/>
    <n v="546.23294356250005"/>
    <n v="6.5914437499999998"/>
    <n v="82.87"/>
    <n v="599.49543211249966"/>
    <n v="7.0563375000000006"/>
    <n v="84.958440850157686"/>
    <n v="2120.6713"/>
    <n v="25.07"/>
    <n v="84.59"/>
    <m/>
    <m/>
    <m/>
    <m/>
    <m/>
    <m/>
    <m/>
    <m/>
    <m/>
    <m/>
    <m/>
    <m/>
    <m/>
    <m/>
    <m/>
    <n v="94.05"/>
    <n v="2.75"/>
    <n v="10.98"/>
    <n v="2.41"/>
    <n v="2.2799999999999998"/>
    <n v="2.88"/>
    <n v="3.4"/>
    <n v="13.14"/>
    <n v="10.75"/>
    <n v="9.9600000000000009"/>
    <n v="10.08"/>
    <n v="102.98"/>
    <n v="93.29"/>
    <n v="92.17"/>
    <n v="88.01"/>
  </r>
  <r>
    <x v="6"/>
    <s v="CLR"/>
    <x v="6"/>
    <n v="87.73"/>
    <n v="34.988999999999997"/>
    <n v="0"/>
    <n v="49.610666666666667"/>
    <n v="297.66399999999999"/>
    <n v="0"/>
    <n v="0"/>
    <n v="0"/>
    <n v="0"/>
    <n v="0"/>
    <n v="49.610666666666667"/>
    <n v="297.66399999999999"/>
    <n v="1"/>
    <n v="0.2947282842399484"/>
    <n v="0.70527171576005154"/>
    <n v="0"/>
    <n v="459.15800000000002"/>
    <n v="0"/>
    <n v="1309.0509999999999"/>
    <n v="4063.9990000000003"/>
    <n v="1262.6560000000004"/>
    <n v="677.33316666666667"/>
    <n v="210.4426666666667"/>
    <n v="0.45073238086160827"/>
    <m/>
    <n v="-241.62299999999999"/>
    <n v="1065.8699999999999"/>
    <n v="0.41899999999999998"/>
    <n v="0"/>
    <n v="824.66599999999983"/>
    <n v="-55.783000000000001"/>
    <n v="267.00900000000001"/>
    <n v="0.38800000000000001"/>
    <n v="0"/>
    <n v="211.614"/>
    <n v="0"/>
    <n v="0"/>
    <n v="0"/>
    <n v="0"/>
    <n v="0"/>
    <n v="2094.35"/>
    <n v="349.05833333333328"/>
    <n v="546.88099999999997"/>
    <n v="16.603999999999999"/>
    <n v="685.9670000000001"/>
    <n v="2543.203"/>
    <n v="3792.6550000000002"/>
    <n v="10261.807000000001"/>
    <n v="835.15933333333328"/>
    <n v="5010.9560000000001"/>
    <n v="12.287244589655149"/>
    <n v="2.0478740982758579"/>
    <m/>
    <n v="282.197"/>
    <n v="144.37899999999999"/>
    <m/>
    <n v="142.79039199199539"/>
    <n v="29.016999999999999"/>
    <m/>
    <n v="28.697724769057345"/>
    <m/>
    <n v="298.78699999999998"/>
    <n v="298.78699999999998"/>
    <n v="242.74997675"/>
    <m/>
    <n v="240.07898888467346"/>
    <n v="3606.7739999999999"/>
    <n v="3646.9009999999998"/>
    <n v="0.98899695933615972"/>
    <n v="992.55110564572624"/>
    <n v="20.00680846146782"/>
    <n v="3.3344680769113038"/>
    <m/>
    <n v="4785.206105645726"/>
    <n v="478.52061056457262"/>
    <n v="0.12617035047073161"/>
    <n v="9.6455186498449113"/>
    <n v="1.6075864416408185"/>
    <n v="76.448378036981296"/>
    <n v="12.741396339496884"/>
    <n v="32.294053051122972"/>
    <n v="41.939571700967882"/>
    <n v="108.74243108810427"/>
    <n v="5.3823421751871621"/>
    <n v="6.9899286168279806"/>
    <n v="18.123738514684046"/>
    <n v="4"/>
    <n v="3.2294053051122971"/>
    <n v="160.21295012349114"/>
    <n v="4.22429538472366E-2"/>
    <n v="152.77500000000001"/>
    <m/>
    <m/>
    <n v="96.880338525000013"/>
    <n v="19.414897500000002"/>
    <n v="4.99"/>
    <n v="113.37868709999999"/>
    <n v="21.720054999999999"/>
    <n v="5.22"/>
    <n v="117.9420895625"/>
    <n v="22.551068749999999"/>
    <n v="5.23"/>
    <n v="99.043984812500042"/>
    <n v="24.043978749999994"/>
    <n v="4.1192843265385131"/>
    <n v="427.24510000000004"/>
    <n v="87.73"/>
    <n v="4.87"/>
    <n v="706.77954771249995"/>
    <n v="7.8539787499999996"/>
    <n v="89.99"/>
    <n v="764.278005925"/>
    <n v="8.7626462499999995"/>
    <n v="87.22"/>
    <n v="900.55041829999993"/>
    <n v="9.1874149999999997"/>
    <n v="98.02"/>
    <n v="774.95279806250039"/>
    <n v="9.1849599999999967"/>
    <n v="84.371929552496766"/>
    <n v="3146.56077"/>
    <n v="34.988999999999997"/>
    <n v="89.93"/>
    <m/>
    <m/>
    <m/>
    <m/>
    <m/>
    <m/>
    <m/>
    <m/>
    <m/>
    <m/>
    <m/>
    <m/>
    <m/>
    <m/>
    <m/>
    <n v="97.98"/>
    <n v="3.73"/>
    <n v="9.94"/>
    <n v="3.49"/>
    <n v="4.01"/>
    <n v="3.56"/>
    <n v="3.85"/>
    <n v="9.77"/>
    <n v="9.39"/>
    <n v="10.01"/>
    <n v="10.53"/>
    <n v="94.33"/>
    <n v="94.05"/>
    <n v="105.83"/>
    <n v="97.44"/>
  </r>
  <r>
    <x v="6"/>
    <s v="CLR"/>
    <x v="7"/>
    <n v="114.295"/>
    <n v="44.53"/>
    <n v="0"/>
    <n v="63.579166666666666"/>
    <n v="381.47500000000002"/>
    <n v="0"/>
    <n v="0"/>
    <n v="0"/>
    <n v="0"/>
    <n v="0"/>
    <n v="63.579166666666666"/>
    <n v="381.47500000000002"/>
    <n v="1"/>
    <n v="0.29961334294514713"/>
    <n v="0.70038665705485292"/>
    <n v="0"/>
    <n v="524.22299999999996"/>
    <n v="0"/>
    <n v="1946.335"/>
    <n v="5091.6729999999998"/>
    <n v="1027.6739999999995"/>
    <n v="848.61216666666655"/>
    <n v="171.27899999999988"/>
    <n v="0.25287260159266756"/>
    <m/>
    <n v="-244.78299999999999"/>
    <n v="1206.569"/>
    <n v="4.4980000000000002"/>
    <n v="0"/>
    <n v="966.28399999999999"/>
    <n v="-67.150999999999996"/>
    <n v="239.52600000000001"/>
    <n v="0.85"/>
    <n v="0"/>
    <n v="173.22499999999999"/>
    <n v="0"/>
    <n v="0"/>
    <n v="0"/>
    <n v="0"/>
    <n v="0"/>
    <n v="2005.634"/>
    <n v="334.27233333333334"/>
    <n v="409.529"/>
    <n v="48.917000000000002"/>
    <n v="862.40599999999995"/>
    <n v="3651.348"/>
    <n v="4972.2"/>
    <n v="13077.912"/>
    <n v="1003.1244999999999"/>
    <n v="6018.7469999999994"/>
    <n v="13.037177339403037"/>
    <n v="2.172862889900506"/>
    <m/>
    <n v="352.47199999999998"/>
    <n v="184.655"/>
    <m/>
    <n v="182.96436241987297"/>
    <n v="53.457000000000001"/>
    <m/>
    <n v="52.96756611994882"/>
    <m/>
    <n v="349.76"/>
    <n v="349.76"/>
    <n v="262.65889241666667"/>
    <m/>
    <n v="260.25407806409481"/>
    <n v="4203.0219999999999"/>
    <n v="4241.8590000000004"/>
    <n v="0.99084434442540392"/>
    <n v="1198.4180066039166"/>
    <n v="18.849224823706663"/>
    <n v="3.1415374706177772"/>
    <m/>
    <n v="6170.618006603916"/>
    <n v="617.06180066039167"/>
    <n v="0.12410236930541646"/>
    <n v="9.7054087527684647"/>
    <n v="1.6175681254614107"/>
    <n v="78.20486270397798"/>
    <n v="13.034143783996329"/>
    <n v="31.8864021631097"/>
    <n v="41.591810915878163"/>
    <n v="110.09126486708769"/>
    <n v="5.3144003605182828"/>
    <n v="6.9319684859796933"/>
    <n v="18.348544144514612"/>
    <n v="4"/>
    <n v="3.1886402163109699"/>
    <n v="202.73108775287122"/>
    <n v="4.0772914957739277E-2"/>
    <n v="93.421000000000006"/>
    <m/>
    <m/>
    <n v="178.08891477499998"/>
    <n v="25.225058749999999"/>
    <n v="7.06"/>
    <n v="153.142303575"/>
    <n v="28.2030025"/>
    <n v="5.43"/>
    <n v="152.311187625"/>
    <n v="29.86493875"/>
    <n v="5.0999999999999996"/>
    <n v="133.65059402500015"/>
    <n v="31.002000000000002"/>
    <n v="4.3110313536223517"/>
    <n v="617.1930000000001"/>
    <n v="114.295"/>
    <n v="5.4"/>
    <n v="871.17219427500004"/>
    <n v="9.7088175000000003"/>
    <n v="89.73"/>
    <n v="980.81601978750007"/>
    <n v="10.62524125"/>
    <n v="92.31"/>
    <n v="996.86939595000013"/>
    <n v="11.660655000000002"/>
    <n v="85.49"/>
    <n v="769.6501899875002"/>
    <n v="12.535286249999993"/>
    <n v="61.398692829013029"/>
    <n v="3618.5078000000003"/>
    <n v="44.53"/>
    <n v="81.260000000000005"/>
    <m/>
    <m/>
    <m/>
    <m/>
    <m/>
    <m/>
    <m/>
    <m/>
    <m/>
    <m/>
    <m/>
    <m/>
    <m/>
    <m/>
    <m/>
    <n v="93.17"/>
    <n v="4.37"/>
    <n v="9.56"/>
    <n v="5.21"/>
    <n v="4.6100000000000003"/>
    <n v="3.96"/>
    <n v="3.8"/>
    <n v="11.19"/>
    <n v="10.15"/>
    <n v="9.83"/>
    <n v="7.41"/>
    <n v="98.68"/>
    <n v="103.35"/>
    <n v="97.87"/>
    <n v="73.209999999999994"/>
  </r>
  <r>
    <x v="6"/>
    <s v="CLR"/>
    <x v="8"/>
    <n v="164.45400000000001"/>
    <n v="53.517000000000003"/>
    <n v="0"/>
    <n v="80.926000000000002"/>
    <n v="485.55600000000004"/>
    <n v="0"/>
    <n v="0"/>
    <n v="0"/>
    <n v="0"/>
    <n v="0"/>
    <n v="80.926000000000002"/>
    <n v="485.55600000000004"/>
    <n v="1"/>
    <n v="0.33869213849689839"/>
    <n v="0.66130786150310161"/>
    <n v="0"/>
    <n v="373.71600000000001"/>
    <n v="0"/>
    <n v="1961.443"/>
    <n v="4203.7390000000005"/>
    <n v="-887.93399999999929"/>
    <n v="700.62316666666675"/>
    <n v="-147.98899999999981"/>
    <n v="-0.17438943938465784"/>
    <m/>
    <n v="-302.14299999999997"/>
    <n v="710.45299999999997"/>
    <n v="0"/>
    <n v="0"/>
    <n v="408.31"/>
    <n v="-246.84"/>
    <n v="134.76400000000001"/>
    <n v="0"/>
    <n v="0"/>
    <n v="-112.07599999999999"/>
    <n v="0"/>
    <n v="0"/>
    <n v="0"/>
    <n v="0"/>
    <n v="0"/>
    <n v="-264.1459999999999"/>
    <n v="-44.024333333333331"/>
    <n v="168.49199999999999"/>
    <n v="0.55700000000000005"/>
    <n v="238.22299999999998"/>
    <n v="2129.0300000000002"/>
    <n v="2536.3020000000001"/>
    <n v="11301.156999999999"/>
    <n v="639.30633333333333"/>
    <n v="3835.8380000000006"/>
    <n v="17.677217338167043"/>
    <n v="2.9462028896945069"/>
    <m/>
    <n v="348.89699999999999"/>
    <n v="189.846"/>
    <m/>
    <n v="187.16587586874422"/>
    <n v="0.03"/>
    <m/>
    <n v="2.9576479230862523E-2"/>
    <m/>
    <n v="200.637"/>
    <n v="200.637"/>
    <n v="305.54302235"/>
    <m/>
    <n v="301.22956182232463"/>
    <n v="2552.5309999999999"/>
    <n v="2589.0819999999999"/>
    <n v="0.98588264102875078"/>
    <n v="1037.9590141702997"/>
    <n v="12.826026421302174"/>
    <n v="2.1376710702170287"/>
    <m/>
    <n v="3574.2610141702999"/>
    <n v="357.42610141703"/>
    <n v="0.1409241097538976"/>
    <n v="4.4167029312832708"/>
    <n v="0.73611715521387844"/>
    <n v="31.341002891530536"/>
    <n v="5.2235004819217554"/>
    <n v="30.503243759469218"/>
    <n v="34.919946690752489"/>
    <n v="61.84424665099975"/>
    <n v="5.0838739599115357"/>
    <n v="5.819991115125414"/>
    <n v="10.307374441833291"/>
    <n v="4"/>
    <n v="3.0503243759469219"/>
    <n v="246.85055044788061"/>
    <n v="9.7326954931976004E-2"/>
    <n v="59.396999999999998"/>
    <m/>
    <m/>
    <n v="93.59934075000001"/>
    <n v="34.666422500000003"/>
    <n v="2.7"/>
    <n v="96.940749674999992"/>
    <n v="41.965692499999996"/>
    <n v="2.31"/>
    <n v="98.657658574999985"/>
    <n v="44.241102499999997"/>
    <n v="2.23"/>
    <n v="90.690991000000039"/>
    <n v="43.580782500000012"/>
    <n v="2.0809858336068201"/>
    <n v="379.88874000000004"/>
    <n v="164.45400000000001"/>
    <n v="2.31"/>
    <n v="504.95780460000003"/>
    <n v="13.09537875"/>
    <n v="38.56"/>
    <n v="681.71656630000007"/>
    <n v="13.678101250000001"/>
    <n v="49.84"/>
    <n v="524.14313900000002"/>
    <n v="13.456819999999999"/>
    <n v="38.950000000000003"/>
    <n v="456.62099010000009"/>
    <n v="13.286700000000002"/>
    <n v="34.366772042719411"/>
    <n v="2167.4385000000002"/>
    <n v="53.517000000000003"/>
    <n v="40.5"/>
    <m/>
    <m/>
    <m/>
    <m/>
    <m/>
    <m/>
    <m/>
    <m/>
    <m/>
    <m/>
    <m/>
    <m/>
    <m/>
    <m/>
    <m/>
    <n v="48.66"/>
    <n v="2.62"/>
    <n v="4.97"/>
    <n v="2.9"/>
    <n v="2.75"/>
    <n v="2.76"/>
    <n v="2.12"/>
    <n v="5.43"/>
    <n v="5.2"/>
    <n v="4.68"/>
    <n v="4.5999999999999996"/>
    <n v="48.49"/>
    <n v="57.85"/>
    <n v="46.64"/>
    <n v="41.94"/>
  </r>
  <r>
    <x v="6"/>
    <s v="CLR"/>
    <x v="9"/>
    <n v="195.24"/>
    <n v="46.85"/>
    <n v="0"/>
    <n v="79.39"/>
    <n v="476.34000000000003"/>
    <n v="0"/>
    <n v="0"/>
    <n v="0"/>
    <n v="0"/>
    <n v="0"/>
    <n v="79.39"/>
    <n v="476.34000000000003"/>
    <n v="1"/>
    <n v="0.40987529915606497"/>
    <n v="0.59012470084393498"/>
    <n v="0"/>
    <n v="353.01799999999997"/>
    <n v="0"/>
    <n v="2419.1979999999999"/>
    <n v="4537.3059999999996"/>
    <n v="333.5669999999991"/>
    <n v="756.21766666666667"/>
    <n v="55.594499999999925"/>
    <n v="7.9350073827133299E-2"/>
    <m/>
    <n v="-63.057000000000002"/>
    <n v="911.06200000000001"/>
    <n v="0"/>
    <n v="0"/>
    <n v="848.005"/>
    <n v="-99.965999999999994"/>
    <n v="97.587000000000003"/>
    <n v="0"/>
    <n v="0"/>
    <n v="-2.3789999999999907"/>
    <n v="0"/>
    <n v="0"/>
    <n v="0"/>
    <n v="0"/>
    <n v="0"/>
    <n v="833.73099999999999"/>
    <n v="138.95516666666668"/>
    <n v="149.96199999999999"/>
    <n v="5.008"/>
    <n v="182.35499999999999"/>
    <n v="767.14800000000002"/>
    <n v="1104.473"/>
    <n v="8612.9750000000004"/>
    <n v="429.20316666666668"/>
    <n v="2575.2190000000001"/>
    <n v="20.067361261314087"/>
    <n v="3.3445602102190146"/>
    <m/>
    <n v="289.28899999999999"/>
    <n v="169.58"/>
    <m/>
    <n v="169.07452276270351"/>
    <n v="2E-3"/>
    <m/>
    <n v="1.9940384805130734E-3"/>
    <m/>
    <n v="142.38800000000001"/>
    <n v="142.38800000000001"/>
    <n v="310"/>
    <m/>
    <n v="309.07596447952642"/>
    <n v="2020.9580000000001"/>
    <n v="2027"/>
    <n v="0.99701924025653677"/>
    <n v="909.82948128071052"/>
    <n v="11.460252944712312"/>
    <n v="1.9100421574520521"/>
    <m/>
    <n v="2014.3024812807105"/>
    <n v="201.43024812807107"/>
    <n v="0.18237679701366269"/>
    <n v="2.537224437940182"/>
    <n v="0.42287073965669703"/>
    <n v="13.911991434689506"/>
    <n v="2.3186652391149178"/>
    <n v="31.527614206026399"/>
    <n v="34.064838643966581"/>
    <n v="45.439605640715904"/>
    <n v="5.2546023676710671"/>
    <n v="5.6774731073277644"/>
    <n v="7.5732676067859845"/>
    <n v="4"/>
    <n v="3.1527614206026398"/>
    <n v="250.29772918164358"/>
    <n v="0.22662186326116038"/>
    <n v="34.851999999999997"/>
    <m/>
    <m/>
    <n v="62.794351800000001"/>
    <n v="46.172317499999998"/>
    <n v="1.36"/>
    <n v="61.881814387500008"/>
    <n v="47.238026250000004"/>
    <n v="1.31"/>
    <n v="101.26336255000001"/>
    <n v="50.130377500000002"/>
    <n v="2.02"/>
    <n v="139.1592712625"/>
    <n v="51.699278750000012"/>
    <n v="2.6917062409212038"/>
    <n v="365.09880000000004"/>
    <n v="195.24"/>
    <n v="1.87"/>
    <n v="343.75541954999994"/>
    <n v="13.365296249999998"/>
    <n v="25.72"/>
    <n v="465.9433707"/>
    <n v="12.140264999999999"/>
    <n v="38.380000000000003"/>
    <n v="399.58300357499996"/>
    <n v="10.61027625"/>
    <n v="37.659999999999997"/>
    <n v="454.36170617499988"/>
    <n v="10.734162500000005"/>
    <n v="42.328566031583705"/>
    <n v="1663.6434999999999"/>
    <n v="46.85"/>
    <n v="35.51"/>
    <m/>
    <m/>
    <m/>
    <m/>
    <m/>
    <m/>
    <m/>
    <m/>
    <m/>
    <m/>
    <m/>
    <m/>
    <m/>
    <m/>
    <m/>
    <n v="43.2"/>
    <n v="2.52"/>
    <n v="5.04"/>
    <n v="1.99"/>
    <n v="2.15"/>
    <n v="2.88"/>
    <n v="3.04"/>
    <n v="4.0199999999999996"/>
    <n v="5"/>
    <n v="5.04"/>
    <n v="6.05"/>
    <n v="33.35"/>
    <n v="45.46"/>
    <n v="44.85"/>
    <n v="49.14"/>
  </r>
  <r>
    <x v="7"/>
    <s v="DVN"/>
    <x v="0"/>
    <n v="635"/>
    <n v="19"/>
    <n v="22"/>
    <n v="146.83333333333331"/>
    <n v="881"/>
    <n v="227"/>
    <n v="16"/>
    <n v="4"/>
    <n v="57.833333333333336"/>
    <n v="347"/>
    <n v="204.66666666666666"/>
    <n v="1228"/>
    <n v="0.71742671009771986"/>
    <n v="0.72077185017026102"/>
    <n v="0.12939841089670831"/>
    <n v="0.14982973893303067"/>
    <n v="22"/>
    <n v="38"/>
    <n v="1400"/>
    <n v="1760"/>
    <m/>
    <n v="293.33333333333337"/>
    <m/>
    <m/>
    <m/>
    <n v="293"/>
    <n v="1133"/>
    <n v="10"/>
    <n v="0"/>
    <n v="1436"/>
    <n v="10"/>
    <n v="9"/>
    <n v="1"/>
    <n v="0"/>
    <n v="20"/>
    <n v="26"/>
    <n v="45"/>
    <n v="0"/>
    <n v="0"/>
    <n v="71"/>
    <n v="1982"/>
    <n v="330.33333333333337"/>
    <n v="156"/>
    <n v="3"/>
    <n v="569"/>
    <n v="3542"/>
    <n v="4270"/>
    <m/>
    <m/>
    <m/>
    <m/>
    <m/>
    <s v="Costs and adds include oil. Sales excluded. "/>
    <m/>
    <m/>
    <m/>
    <m/>
    <m/>
    <m/>
    <m/>
    <m/>
    <m/>
    <m/>
    <m/>
    <m/>
    <m/>
    <n v="0"/>
    <n v="0"/>
    <m/>
    <m/>
    <m/>
    <m/>
    <m/>
    <m/>
    <m/>
    <m/>
    <m/>
    <m/>
    <m/>
    <m/>
    <m/>
    <m/>
    <m/>
    <m/>
    <m/>
    <m/>
    <n v="4"/>
    <m/>
    <m/>
    <m/>
    <m/>
    <m/>
    <m/>
    <m/>
    <m/>
    <m/>
    <m/>
    <m/>
    <m/>
    <m/>
    <m/>
    <m/>
    <m/>
    <m/>
    <m/>
    <m/>
    <m/>
    <m/>
    <m/>
    <m/>
    <m/>
    <m/>
    <m/>
    <m/>
    <m/>
    <m/>
    <m/>
    <m/>
    <m/>
    <m/>
    <m/>
    <m/>
    <m/>
    <m/>
    <m/>
    <m/>
    <m/>
    <m/>
    <m/>
    <m/>
    <m/>
    <m/>
    <m/>
    <m/>
    <m/>
    <m/>
    <m/>
    <m/>
    <n v="72.34"/>
    <n v="6.97"/>
    <n v="12.91"/>
    <m/>
    <m/>
    <m/>
    <m/>
    <m/>
    <m/>
    <m/>
    <m/>
    <m/>
    <m/>
    <m/>
    <m/>
  </r>
  <r>
    <x v="7"/>
    <s v="DVN"/>
    <x v="1"/>
    <n v="726"/>
    <n v="17"/>
    <n v="24"/>
    <n v="162"/>
    <n v="972"/>
    <n v="212"/>
    <n v="22"/>
    <n v="4"/>
    <n v="61.333333333333336"/>
    <n v="368"/>
    <n v="223.33333333333334"/>
    <n v="1340"/>
    <n v="0.72537313432835826"/>
    <n v="0.74691358024691357"/>
    <n v="0.10493827160493827"/>
    <n v="0.14814814814814814"/>
    <n v="34"/>
    <n v="56"/>
    <n v="1688"/>
    <n v="2228"/>
    <n v="468"/>
    <n v="371.33333333333331"/>
    <n v="77.999999999999943"/>
    <n v="0.26590909090909071"/>
    <m/>
    <n v="-263"/>
    <n v="1966"/>
    <n v="250"/>
    <n v="0"/>
    <n v="1953"/>
    <n v="-15"/>
    <n v="12"/>
    <n v="18"/>
    <n v="0"/>
    <n v="15"/>
    <n v="-12"/>
    <n v="65"/>
    <n v="6"/>
    <n v="0"/>
    <n v="59"/>
    <n v="2397"/>
    <n v="399.5"/>
    <n v="1411"/>
    <n v="822"/>
    <n v="844"/>
    <n v="4733"/>
    <n v="7810"/>
    <m/>
    <m/>
    <m/>
    <m/>
    <m/>
    <s v="Costs and adds include oil. Sales excluded. "/>
    <m/>
    <m/>
    <m/>
    <m/>
    <m/>
    <m/>
    <m/>
    <m/>
    <m/>
    <m/>
    <m/>
    <m/>
    <m/>
    <n v="0"/>
    <n v="0"/>
    <m/>
    <m/>
    <m/>
    <m/>
    <m/>
    <m/>
    <m/>
    <m/>
    <m/>
    <m/>
    <m/>
    <m/>
    <m/>
    <m/>
    <m/>
    <m/>
    <m/>
    <m/>
    <n v="4"/>
    <m/>
    <m/>
    <m/>
    <m/>
    <m/>
    <m/>
    <m/>
    <m/>
    <m/>
    <m/>
    <m/>
    <m/>
    <m/>
    <m/>
    <m/>
    <m/>
    <m/>
    <m/>
    <m/>
    <m/>
    <m/>
    <m/>
    <m/>
    <m/>
    <m/>
    <m/>
    <m/>
    <m/>
    <m/>
    <m/>
    <m/>
    <m/>
    <m/>
    <m/>
    <m/>
    <m/>
    <m/>
    <m/>
    <m/>
    <m/>
    <m/>
    <m/>
    <m/>
    <m/>
    <m/>
    <m/>
    <m/>
    <m/>
    <m/>
    <m/>
    <m/>
    <n v="99.67"/>
    <n v="8.86"/>
    <n v="15.2"/>
    <m/>
    <m/>
    <m/>
    <m/>
    <m/>
    <m/>
    <m/>
    <m/>
    <m/>
    <m/>
    <m/>
    <m/>
  </r>
  <r>
    <x v="7"/>
    <s v="DVN"/>
    <x v="2"/>
    <n v="743"/>
    <n v="17"/>
    <n v="26"/>
    <n v="166.83333333333331"/>
    <n v="1001"/>
    <n v="223"/>
    <n v="25"/>
    <n v="4"/>
    <n v="66.166666666666657"/>
    <n v="397"/>
    <n v="232.99999999999997"/>
    <n v="1398"/>
    <n v="0.71602288984263229"/>
    <n v="0.74225774225774221"/>
    <n v="0.1018981018981019"/>
    <n v="0.15584415584415587"/>
    <n v="32"/>
    <n v="93"/>
    <n v="1837"/>
    <n v="2587"/>
    <n v="359"/>
    <n v="431.16666666666669"/>
    <n v="59.833333333333371"/>
    <n v="0.16113105924596061"/>
    <m/>
    <n v="-608"/>
    <n v="1451"/>
    <n v="1"/>
    <n v="0"/>
    <n v="844"/>
    <n v="12"/>
    <n v="11"/>
    <n v="0"/>
    <n v="0"/>
    <n v="23"/>
    <n v="26"/>
    <n v="70"/>
    <n v="0"/>
    <n v="0"/>
    <n v="96"/>
    <n v="1558"/>
    <n v="259.66666666666663"/>
    <n v="63"/>
    <n v="17"/>
    <n v="382"/>
    <n v="2548"/>
    <n v="3010"/>
    <n v="15090"/>
    <n v="989.5"/>
    <n v="5937"/>
    <n v="15.250126326427489"/>
    <n v="2.5416877210712481"/>
    <s v="Costs and adds include oil. Sales excluded. "/>
    <n v="997"/>
    <n v="0"/>
    <n v="145"/>
    <n v="145"/>
    <n v="68"/>
    <n v="0"/>
    <n v="38.901877347293407"/>
    <n v="0"/>
    <n v="258"/>
    <n v="258"/>
    <n v="437"/>
    <n v="0"/>
    <n v="250.00177059951793"/>
    <n v="6097"/>
    <n v="7631"/>
    <n v="0.57208643157784422"/>
    <n v="1688.9036479468114"/>
    <n v="10.123298589091778"/>
    <n v="1.687216431515296"/>
    <s v="Excludes asset retirement obligations and reduction of carrying value of oil and gas properties.See note 6 income taxes"/>
    <n v="4698.9036479468114"/>
    <n v="469.89036479468115"/>
    <n v="0.15610975574574124"/>
    <n v="2.8165256631049824"/>
    <n v="0.46942094385083033"/>
    <n v="18.041958041958043"/>
    <n v="3.0069930069930071"/>
    <n v="25.373424915519266"/>
    <n v="28.189950578624249"/>
    <n v="43.415382957477306"/>
    <n v="4.2289041525865443"/>
    <n v="4.6983250964373742"/>
    <n v="7.2358971595795509"/>
    <n v="4"/>
    <n v="2.5373424915519265"/>
    <n v="423.31330567391302"/>
    <n v="0.14063564972555251"/>
    <m/>
    <n v="3434"/>
    <m/>
    <m/>
    <m/>
    <m/>
    <m/>
    <m/>
    <m/>
    <m/>
    <m/>
    <m/>
    <m/>
    <m/>
    <m/>
    <m/>
    <m/>
    <m/>
    <m/>
    <m/>
    <m/>
    <m/>
    <m/>
    <m/>
    <m/>
    <m/>
    <m/>
    <m/>
    <m/>
    <m/>
    <m/>
    <m/>
    <m/>
    <m/>
    <m/>
    <m/>
    <m/>
    <m/>
    <m/>
    <m/>
    <m/>
    <m/>
    <m/>
    <m/>
    <m/>
    <m/>
    <m/>
    <m/>
    <n v="61.95"/>
    <n v="3.94"/>
    <n v="8.99"/>
    <m/>
    <m/>
    <m/>
    <m/>
    <m/>
    <m/>
    <m/>
    <m/>
    <m/>
    <m/>
    <m/>
    <m/>
  </r>
  <r>
    <x v="7"/>
    <s v="DVN"/>
    <x v="3"/>
    <n v="716"/>
    <n v="16"/>
    <n v="28"/>
    <n v="163.33333333333331"/>
    <n v="980"/>
    <n v="214"/>
    <n v="25"/>
    <n v="4"/>
    <n v="64.666666666666657"/>
    <n v="388"/>
    <n v="227.99999999999997"/>
    <n v="1368"/>
    <n v="0.716374269005848"/>
    <n v="0.73061224489795917"/>
    <n v="9.7959183673469397E-2"/>
    <n v="0.17142857142857146"/>
    <n v="17"/>
    <n v="96"/>
    <n v="1785"/>
    <n v="2463"/>
    <n v="-124"/>
    <n v="410.5"/>
    <n v="-20.666666666666686"/>
    <n v="-4.7931967529957521E-2"/>
    <m/>
    <n v="530"/>
    <n v="1095"/>
    <n v="12"/>
    <n v="0"/>
    <n v="1637"/>
    <n v="9"/>
    <n v="20"/>
    <n v="0"/>
    <n v="0"/>
    <n v="29"/>
    <n v="30"/>
    <n v="68"/>
    <n v="0"/>
    <n v="0"/>
    <n v="98"/>
    <n v="2399"/>
    <n v="399.83333333333331"/>
    <n v="594"/>
    <n v="29"/>
    <n v="428"/>
    <n v="3423"/>
    <n v="4474"/>
    <n v="15294"/>
    <n v="1059"/>
    <n v="6354"/>
    <n v="14.441926345609065"/>
    <n v="2.4069877242681774"/>
    <s v="Costs and adds include oil. Sales excluded. "/>
    <n v="892"/>
    <n v="0"/>
    <n v="133"/>
    <n v="133"/>
    <n v="955"/>
    <n v="0"/>
    <n v="544.22236763632895"/>
    <n v="0"/>
    <n v="319"/>
    <n v="319"/>
    <n v="408"/>
    <n v="0"/>
    <n v="232.50547224672485"/>
    <n v="7262"/>
    <n v="9129"/>
    <n v="0.56986635354589421"/>
    <n v="2120.727839883054"/>
    <n v="12.984047999284005"/>
    <n v="2.1640079998806674"/>
    <s v="Excludes asset retirement obligations and reduction of carrying value of oil and gas properties.See note 6 income taxes"/>
    <n v="6594.727839883054"/>
    <n v="659.47278398830542"/>
    <n v="0.14740115869206649"/>
    <n v="4.0375884733977889"/>
    <n v="0.67293141223296471"/>
    <n v="27.391836734693882"/>
    <n v="4.5653061224489795"/>
    <n v="27.425974344893071"/>
    <n v="31.46356281829086"/>
    <n v="54.817811079586953"/>
    <n v="4.5709957241488448"/>
    <n v="5.2439271363818092"/>
    <n v="9.1363018465978243"/>
    <n v="4"/>
    <n v="2.7425974344893072"/>
    <n v="447.95758096658676"/>
    <n v="0.10012462694827598"/>
    <m/>
    <n v="4078"/>
    <m/>
    <m/>
    <m/>
    <m/>
    <m/>
    <m/>
    <m/>
    <m/>
    <m/>
    <m/>
    <m/>
    <m/>
    <m/>
    <m/>
    <m/>
    <m/>
    <m/>
    <m/>
    <m/>
    <m/>
    <m/>
    <m/>
    <m/>
    <m/>
    <m/>
    <m/>
    <m/>
    <m/>
    <m/>
    <m/>
    <m/>
    <m/>
    <m/>
    <m/>
    <m/>
    <m/>
    <m/>
    <m/>
    <m/>
    <m/>
    <m/>
    <m/>
    <m/>
    <m/>
    <m/>
    <m/>
    <n v="79.48"/>
    <n v="4.37"/>
    <n v="11.83"/>
    <m/>
    <m/>
    <m/>
    <m/>
    <m/>
    <m/>
    <m/>
    <m/>
    <m/>
    <m/>
    <m/>
    <m/>
  </r>
  <r>
    <x v="7"/>
    <s v="DVN"/>
    <x v="4"/>
    <n v="740"/>
    <n v="17"/>
    <n v="33"/>
    <n v="173.33333333333331"/>
    <n v="1040"/>
    <n v="213"/>
    <n v="28"/>
    <n v="4"/>
    <n v="67.5"/>
    <n v="405"/>
    <n v="240.83333333333331"/>
    <n v="1445"/>
    <n v="0.7197231833910035"/>
    <n v="0.71153846153846156"/>
    <n v="9.8076923076923089E-2"/>
    <n v="0.1903846153846154"/>
    <n v="22"/>
    <n v="123"/>
    <n v="1550"/>
    <n v="2420"/>
    <n v="-43"/>
    <n v="403.33333333333331"/>
    <n v="-7.1666666666666856"/>
    <n v="-1.7458384084449902E-2"/>
    <m/>
    <n v="-244"/>
    <n v="1410"/>
    <n v="16"/>
    <n v="0"/>
    <n v="1182"/>
    <n v="1"/>
    <n v="36"/>
    <n v="0"/>
    <n v="0"/>
    <n v="37"/>
    <n v="5"/>
    <n v="102"/>
    <n v="2"/>
    <n v="0"/>
    <n v="109"/>
    <n v="2058"/>
    <n v="343"/>
    <n v="851"/>
    <n v="34"/>
    <n v="272"/>
    <n v="3748"/>
    <n v="4905"/>
    <n v="12389"/>
    <n v="1002.5"/>
    <n v="6015"/>
    <n v="12.358104738154614"/>
    <n v="2.059684123025769"/>
    <s v="Costs and adds include oil. Sales excluded. "/>
    <n v="925"/>
    <n v="0"/>
    <n v="132"/>
    <n v="132"/>
    <n v="-383"/>
    <n v="0"/>
    <n v="-216.96921974349132"/>
    <n v="0"/>
    <n v="357"/>
    <n v="357"/>
    <n v="414"/>
    <n v="0"/>
    <n v="234.53069705954414"/>
    <n v="8315"/>
    <n v="10564"/>
    <n v="0.56649926825976848"/>
    <n v="1431.5614773160528"/>
    <n v="8.2590085229772292"/>
    <n v="1.3765014204962045"/>
    <s v="Excludes asset retirement obligations and reduction of carrying value of oil and gas properties.See note 6 income taxes"/>
    <n v="6336.5614773160523"/>
    <n v="633.6561477316053"/>
    <n v="0.12918575896668813"/>
    <n v="3.6557085446054156"/>
    <n v="0.60928475743423582"/>
    <n v="28.298076923076927"/>
    <n v="4.7163461538461542"/>
    <n v="20.617113261131841"/>
    <n v="24.272821805737259"/>
    <n v="48.915190184208768"/>
    <n v="3.4361855435219733"/>
    <n v="4.0454703009562092"/>
    <n v="8.1525316973681274"/>
    <n v="4"/>
    <n v="2.0617113261131843"/>
    <n v="357.36329652628524"/>
    <n v="7.2856941187825736E-2"/>
    <m/>
    <n v="3982"/>
    <m/>
    <m/>
    <m/>
    <m/>
    <m/>
    <m/>
    <m/>
    <m/>
    <m/>
    <m/>
    <m/>
    <m/>
    <m/>
    <m/>
    <m/>
    <m/>
    <m/>
    <m/>
    <m/>
    <m/>
    <m/>
    <m/>
    <m/>
    <m/>
    <m/>
    <m/>
    <m/>
    <m/>
    <m/>
    <m/>
    <m/>
    <m/>
    <m/>
    <m/>
    <m/>
    <m/>
    <m/>
    <m/>
    <m/>
    <m/>
    <m/>
    <m/>
    <m/>
    <m/>
    <m/>
    <m/>
    <n v="94.88"/>
    <n v="4"/>
    <n v="15.12"/>
    <m/>
    <m/>
    <m/>
    <m/>
    <m/>
    <m/>
    <m/>
    <m/>
    <m/>
    <m/>
    <m/>
    <m/>
  </r>
  <r>
    <x v="7"/>
    <s v="DVN"/>
    <x v="5"/>
    <n v="752"/>
    <n v="21"/>
    <n v="36"/>
    <n v="182.33333333333331"/>
    <n v="1094"/>
    <n v="186"/>
    <n v="32"/>
    <n v="4"/>
    <n v="67"/>
    <n v="402"/>
    <n v="249.33333333333331"/>
    <n v="1496"/>
    <n v="0.73128342245989308"/>
    <n v="0.6873857404021938"/>
    <n v="0.11517367458866545"/>
    <n v="0.1974405850091408"/>
    <n v="39"/>
    <n v="140"/>
    <n v="1371"/>
    <n v="2445"/>
    <n v="25"/>
    <n v="407.5"/>
    <n v="4.1666666666666856"/>
    <n v="1.0330578512396741E-2"/>
    <m/>
    <n v="-1118"/>
    <n v="1124"/>
    <n v="2"/>
    <n v="0"/>
    <n v="8"/>
    <n v="-7"/>
    <n v="65"/>
    <n v="0"/>
    <n v="0"/>
    <n v="58"/>
    <n v="-32"/>
    <n v="114"/>
    <n v="0"/>
    <n v="0"/>
    <n v="82"/>
    <n v="848"/>
    <n v="141.33333333333334"/>
    <n v="1135"/>
    <n v="2"/>
    <n v="351"/>
    <n v="4013"/>
    <n v="5501"/>
    <n v="14880"/>
    <n v="884.16666666666663"/>
    <n v="5305"/>
    <n v="16.829406220546655"/>
    <n v="2.8049010367577756"/>
    <s v="Costs and adds include oil. Sales excluded. "/>
    <n v="1059"/>
    <n v="0"/>
    <n v="159"/>
    <n v="159"/>
    <n v="100"/>
    <n v="0"/>
    <n v="59.38771935576311"/>
    <n v="0"/>
    <n v="340"/>
    <n v="340"/>
    <n v="440"/>
    <n v="0"/>
    <n v="261.30596516535769"/>
    <n v="7153"/>
    <n v="8808"/>
    <n v="0.59387719355763113"/>
    <n v="1878.6936845211208"/>
    <n v="10.303621670134119"/>
    <n v="1.7172702783556864"/>
    <s v="Excludes asset retirement obligations and reduction of carrying value of oil and gas properties.See note 6 income taxes"/>
    <n v="7379.6936845211203"/>
    <n v="737.96936845211212"/>
    <n v="0.13415185756264536"/>
    <n v="4.0473639951669771"/>
    <n v="0.67456066586116281"/>
    <n v="30.170018281535651"/>
    <n v="5.0283363802559418"/>
    <n v="27.133027890680772"/>
    <n v="31.180391885847747"/>
    <n v="57.303046172216426"/>
    <n v="4.5221713151134617"/>
    <n v="5.1967319809746249"/>
    <n v="9.5505076953694044"/>
    <n v="4"/>
    <n v="2.7133027890680772"/>
    <n v="494.72554187341268"/>
    <n v="8.9933746932087374E-2"/>
    <m/>
    <n v="3308"/>
    <m/>
    <n v="570.936285"/>
    <n v="189.05175"/>
    <n v="3.02"/>
    <n v="497.634795"/>
    <n v="187.08074999999999"/>
    <n v="2.66"/>
    <n v="569.64108250000004"/>
    <n v="188.62287499999999"/>
    <n v="3.02"/>
    <n v="1249.5765875"/>
    <n v="185.31962500000012"/>
    <n v="6.7428184548722196"/>
    <n v="2887.7887500000002"/>
    <n v="750.07500000000005"/>
    <n v="3.85"/>
    <n v="440.33910249999997"/>
    <n v="4.9913749999999997"/>
    <n v="88.22"/>
    <n v="436.35421499999995"/>
    <n v="5.1191249999999995"/>
    <n v="85.24"/>
    <n v="470.01095624999999"/>
    <n v="5.374625"/>
    <n v="87.45"/>
    <n v="432.21082625000031"/>
    <n v="5.6848750000000035"/>
    <n v="76.028202247191018"/>
    <n v="1778.9151000000002"/>
    <n v="21.17"/>
    <n v="84.03"/>
    <n v="330.64702125000002"/>
    <n v="9.3166250000000002"/>
    <n v="35.49"/>
    <n v="258.03675000000004"/>
    <n v="8.2125000000000004"/>
    <n v="31.42"/>
    <n v="247.33422000000002"/>
    <n v="9.1980000000000004"/>
    <n v="26.89"/>
    <n v="264.65410875000026"/>
    <n v="9.407875000000006"/>
    <n v="28.131125121241524"/>
    <n v="1100.6721000000002"/>
    <n v="36.135000000000005"/>
    <n v="30.46"/>
    <n v="94.05"/>
    <n v="2.75"/>
    <n v="10.98"/>
    <n v="2.41"/>
    <n v="2.2799999999999998"/>
    <n v="2.88"/>
    <n v="3.4"/>
    <n v="13.14"/>
    <n v="10.75"/>
    <n v="9.9600000000000009"/>
    <n v="10.08"/>
    <n v="102.98"/>
    <n v="93.29"/>
    <n v="92.17"/>
    <n v="88.01"/>
  </r>
  <r>
    <x v="7"/>
    <s v="DVN"/>
    <x v="6"/>
    <n v="709"/>
    <n v="28"/>
    <n v="41"/>
    <n v="187.16666666666669"/>
    <n v="1123"/>
    <n v="165"/>
    <n v="34"/>
    <n v="4"/>
    <n v="65.5"/>
    <n v="393"/>
    <n v="252.66666666666669"/>
    <n v="1516"/>
    <n v="0.74076517150395782"/>
    <n v="0.63134461264470165"/>
    <n v="0.14959928762243987"/>
    <n v="0.21905609973285839"/>
    <n v="35"/>
    <n v="84"/>
    <n v="843"/>
    <n v="1557"/>
    <n v="-888"/>
    <n v="259.5"/>
    <n v="-148"/>
    <n v="-0.36319018404907977"/>
    <m/>
    <n v="106"/>
    <n v="471"/>
    <n v="1"/>
    <n v="0"/>
    <n v="578"/>
    <n v="-17"/>
    <n v="69"/>
    <n v="1"/>
    <n v="0"/>
    <n v="53"/>
    <n v="-42"/>
    <n v="64"/>
    <n v="0"/>
    <n v="0"/>
    <n v="22"/>
    <n v="1028"/>
    <n v="171.33333333333331"/>
    <n v="213"/>
    <n v="19"/>
    <n v="443"/>
    <n v="3428"/>
    <n v="4103"/>
    <n v="14509"/>
    <n v="655.66666666666674"/>
    <n v="3934"/>
    <n v="22.1286222674123"/>
    <n v="3.6881037112353838"/>
    <s v="Costs and adds include oil. Sales excluded. "/>
    <n v="1257"/>
    <n v="0"/>
    <n v="125"/>
    <n v="125"/>
    <n v="13"/>
    <n v="0"/>
    <n v="7.7508887693839696"/>
    <n v="0"/>
    <n v="380"/>
    <n v="380"/>
    <n v="466"/>
    <n v="0"/>
    <n v="277.83955127176387"/>
    <n v="8522"/>
    <n v="10588"/>
    <n v="0.59622221302953615"/>
    <n v="2047.5904400411478"/>
    <n v="10.939931113309783"/>
    <n v="1.8233218522182972"/>
    <s v="Excludes asset retirement obligations and reduction of carrying value of oil and gas properties.See note 6 income taxes"/>
    <n v="6150.5904400411473"/>
    <n v="615.05904400411475"/>
    <n v="0.14990471460007671"/>
    <n v="3.2861569581698022"/>
    <n v="0.54769282636163374"/>
    <n v="21.921638468388245"/>
    <n v="3.6536064113980409"/>
    <n v="33.068553380722079"/>
    <n v="36.354710338891884"/>
    <n v="54.990191849110325"/>
    <n v="5.5114255634536811"/>
    <n v="6.0591183898153149"/>
    <n v="9.1650319748517219"/>
    <n v="4"/>
    <n v="3.3068553380722081"/>
    <n v="618.93309077584831"/>
    <n v="0.15084891317958771"/>
    <m/>
    <n v="2791"/>
    <m/>
    <n v="468.11414249999996"/>
    <n v="151.49324999999999"/>
    <n v="3.09"/>
    <n v="522.130675"/>
    <n v="153.11750000000001"/>
    <n v="3.41"/>
    <n v="572.02362000000005"/>
    <n v="176.5505"/>
    <n v="3.24"/>
    <n v="741.42906249999976"/>
    <n v="227.66874999999993"/>
    <n v="3.2566132264529055"/>
    <n v="2303.6974999999998"/>
    <n v="708.82999999999993"/>
    <n v="3.25"/>
    <n v="454.10553375000001"/>
    <n v="5.7213750000000001"/>
    <n v="79.37"/>
    <n v="569.09339999999997"/>
    <n v="6.4787499999999998"/>
    <n v="87.84"/>
    <n v="642.12898749999999"/>
    <n v="7.0262500000000001"/>
    <n v="91.39"/>
    <n v="820.67247874999998"/>
    <n v="9.243624999999998"/>
    <n v="88.782537018756187"/>
    <n v="2486.0003999999999"/>
    <n v="28.47"/>
    <n v="87.32"/>
    <n v="259.62176250000005"/>
    <n v="9.2162500000000005"/>
    <n v="28.17"/>
    <n v="252.84918749999997"/>
    <n v="9.5812499999999989"/>
    <n v="26.39"/>
    <n v="263.484375"/>
    <n v="10.0375"/>
    <n v="26.25"/>
    <n v="381.62027500000011"/>
    <n v="13.505000000000004"/>
    <n v="28.257702702702701"/>
    <n v="1157.5756000000001"/>
    <n v="42.34"/>
    <n v="27.34"/>
    <n v="97.98"/>
    <n v="3.73"/>
    <n v="9.94"/>
    <n v="3.49"/>
    <n v="4.01"/>
    <n v="3.56"/>
    <n v="3.85"/>
    <n v="9.77"/>
    <n v="9.39"/>
    <n v="10.01"/>
    <n v="10.53"/>
    <n v="94.33"/>
    <n v="94.05"/>
    <n v="105.83"/>
    <n v="97.44"/>
  </r>
  <r>
    <x v="7"/>
    <s v="DVN"/>
    <x v="7"/>
    <n v="660"/>
    <n v="48"/>
    <n v="50"/>
    <n v="208"/>
    <n v="1248"/>
    <n v="41"/>
    <n v="10"/>
    <n v="21"/>
    <n v="37.833333333333329"/>
    <n v="227"/>
    <n v="245.83333333333331"/>
    <n v="1475"/>
    <n v="0.84610169491525422"/>
    <n v="0.52884615384615385"/>
    <n v="0.23076923076923078"/>
    <n v="0.24038461538461539"/>
    <n v="96"/>
    <n v="92"/>
    <n v="703"/>
    <n v="1831"/>
    <n v="274"/>
    <n v="305.16666666666669"/>
    <n v="45.666666666666686"/>
    <n v="0.1759794476557483"/>
    <m/>
    <n v="-108"/>
    <n v="335"/>
    <n v="457"/>
    <n v="0"/>
    <n v="684"/>
    <n v="-39"/>
    <n v="94"/>
    <n v="132"/>
    <n v="0"/>
    <n v="187"/>
    <n v="9"/>
    <n v="47"/>
    <n v="57"/>
    <n v="0"/>
    <n v="113"/>
    <n v="2484"/>
    <n v="414"/>
    <n v="1176"/>
    <n v="5210"/>
    <n v="270"/>
    <n v="4400"/>
    <n v="11056"/>
    <n v="20660"/>
    <n v="726.66666666666663"/>
    <n v="4360"/>
    <n v="28.431192660550462"/>
    <n v="4.738532110091743"/>
    <m/>
    <n v="1559"/>
    <n v="0"/>
    <n v="153"/>
    <n v="153"/>
    <n v="899"/>
    <n v="0"/>
    <n v="428.85567213702808"/>
    <n v="0"/>
    <n v="466"/>
    <n v="466"/>
    <n v="532"/>
    <n v="0"/>
    <n v="253.78333434582751"/>
    <n v="9910"/>
    <n v="17577"/>
    <n v="0.47703634275531487"/>
    <n v="2860.6390064828556"/>
    <n v="13.75307214655219"/>
    <n v="2.2921786910920319"/>
    <m/>
    <n v="13916.639006482856"/>
    <n v="1391.6639006482856"/>
    <n v="0.12587408652752222"/>
    <n v="6.6906918300398344"/>
    <n v="1.1151153050066391"/>
    <n v="53.153846153846153"/>
    <n v="8.8589743589743595"/>
    <n v="42.18426480710265"/>
    <n v="48.874956637142482"/>
    <n v="95.338110960948796"/>
    <n v="7.0307108011837744"/>
    <n v="8.1458261061904143"/>
    <n v="15.889685160158134"/>
    <n v="4"/>
    <n v="4.2184264807102654"/>
    <n v="877.43270798773517"/>
    <n v="7.9362582126242323E-2"/>
    <m/>
    <n v="2752"/>
    <m/>
    <n v="575.09171875000004"/>
    <n v="144.859375"/>
    <n v="3.97"/>
    <n v="614.9437875000001"/>
    <n v="154.12125"/>
    <n v="3.99"/>
    <n v="573.67050000000006"/>
    <n v="154.21250000000001"/>
    <n v="3.72"/>
    <n v="778.39124374999972"/>
    <n v="207.09187499999993"/>
    <n v="3.7586759198061248"/>
    <n v="2542.0972499999998"/>
    <n v="660.28499999999997"/>
    <n v="3.85"/>
    <n v="741.64350000000002"/>
    <n v="8.8968749999999996"/>
    <n v="83.36"/>
    <n v="1016.7439999999999"/>
    <n v="11.68"/>
    <n v="87.05"/>
    <n v="1064.5298"/>
    <n v="12.41"/>
    <n v="85.78"/>
    <n v="1164.3062000000009"/>
    <n v="14.463125000000007"/>
    <n v="80.501703470031572"/>
    <n v="3987.2235000000005"/>
    <n v="47.45"/>
    <n v="84.03"/>
    <n v="338.03288749999996"/>
    <n v="10.858749999999999"/>
    <n v="31.13"/>
    <n v="298.104625"/>
    <n v="11.862500000000001"/>
    <n v="25.13"/>
    <n v="326.27167500000002"/>
    <n v="12.592500000000001"/>
    <n v="25.91"/>
    <n v="283.21536250000014"/>
    <n v="14.691250000000002"/>
    <n v="19.27782608695653"/>
    <n v="1245.62455"/>
    <n v="50.005000000000003"/>
    <n v="24.91"/>
    <n v="93.17"/>
    <n v="4.37"/>
    <n v="9.56"/>
    <n v="5.21"/>
    <n v="4.6100000000000003"/>
    <n v="3.96"/>
    <n v="3.8"/>
    <n v="11.19"/>
    <n v="10.15"/>
    <n v="9.83"/>
    <n v="7.41"/>
    <n v="98.68"/>
    <n v="103.35"/>
    <n v="97.87"/>
    <n v="73.209999999999994"/>
  </r>
  <r>
    <x v="7"/>
    <s v="DVN"/>
    <x v="8"/>
    <n v="579"/>
    <n v="60"/>
    <n v="50"/>
    <n v="206.5"/>
    <n v="1239"/>
    <n v="8"/>
    <n v="10"/>
    <n v="31"/>
    <n v="42.333333333333336"/>
    <n v="254"/>
    <n v="248.83333333333334"/>
    <n v="1493"/>
    <n v="0.82987273945077022"/>
    <n v="0.46731234866828086"/>
    <n v="0.29055690072639223"/>
    <n v="0.24213075060532688"/>
    <n v="39"/>
    <n v="17"/>
    <n v="114"/>
    <n v="450"/>
    <n v="-1381"/>
    <n v="75"/>
    <n v="-230.16666666666669"/>
    <n v="-0.75423265974877118"/>
    <m/>
    <n v="-1415"/>
    <n v="171"/>
    <n v="17"/>
    <n v="0"/>
    <n v="-1227"/>
    <n v="-105"/>
    <n v="51"/>
    <n v="5"/>
    <n v="0"/>
    <n v="-49"/>
    <n v="-125"/>
    <n v="24"/>
    <n v="1"/>
    <n v="0"/>
    <n v="-100"/>
    <n v="-2121"/>
    <n v="-353.5"/>
    <n v="634"/>
    <n v="193"/>
    <n v="478"/>
    <n v="3269"/>
    <n v="4574"/>
    <n v="19733"/>
    <n v="231.83333333333326"/>
    <n v="1391"/>
    <n v="85.117181883537057"/>
    <n v="14.186196980589504"/>
    <m/>
    <n v="1551"/>
    <n v="0"/>
    <n v="196"/>
    <n v="196"/>
    <n v="-279"/>
    <n v="0"/>
    <n v="-98.569739626562921"/>
    <n v="0"/>
    <n v="309"/>
    <n v="309"/>
    <n v="565"/>
    <n v="0"/>
    <n v="199.61255515773496"/>
    <n v="5382"/>
    <n v="12642"/>
    <n v="0.35329655780130081"/>
    <n v="2157.042815531172"/>
    <n v="10.445727920247807"/>
    <n v="1.7409546533746343"/>
    <m/>
    <n v="6731.042815531172"/>
    <n v="673.10428155311729"/>
    <n v="0.14715878477330943"/>
    <n v="3.2595848985623115"/>
    <n v="0.54326414976038517"/>
    <n v="22.150121065375302"/>
    <n v="3.691686844229217"/>
    <n v="95.562909803784862"/>
    <n v="98.822494702347171"/>
    <n v="117.71303086916016"/>
    <n v="15.927151633964138"/>
    <n v="16.470415783724523"/>
    <n v="19.618838478193354"/>
    <n v="4"/>
    <n v="9.5562909803784866"/>
    <n v="1973.3740874481575"/>
    <n v="0.43143290062268419"/>
    <m/>
    <n v="2584"/>
    <m/>
    <n v="436.75170000000003"/>
    <n v="147.55125000000001"/>
    <n v="2.96"/>
    <n v="397.39101249999999"/>
    <n v="146.63874999999999"/>
    <n v="2.71"/>
    <n v="388.24137500000006"/>
    <n v="143.26250000000002"/>
    <n v="2.71"/>
    <n v="346.70591249999984"/>
    <n v="141.54750000000004"/>
    <n v="2.4493962274148235"/>
    <n v="1569.09"/>
    <n v="579"/>
    <n v="2.71"/>
    <n v="1077.5457000000001"/>
    <n v="15.33"/>
    <n v="70.290000000000006"/>
    <n v="1150.28655"/>
    <n v="15.694999999999999"/>
    <n v="73.290000000000006"/>
    <n v="1058.3576500000001"/>
    <n v="14.69125"/>
    <n v="72.040000000000006"/>
    <n v="1033.8101000000001"/>
    <n v="14.283750000000003"/>
    <n v="72.376658790583704"/>
    <n v="4320"/>
    <n v="60"/>
    <n v="72"/>
    <n v="119.22725000000003"/>
    <n v="12.683750000000002"/>
    <n v="9.4"/>
    <n v="126.06552500000002"/>
    <n v="12.227500000000001"/>
    <n v="10.31"/>
    <n v="107.60200000000002"/>
    <n v="12.227500000000001"/>
    <n v="8.8000000000000007"/>
    <n v="113.1052249999999"/>
    <n v="12.86125"/>
    <n v="8.7942637768490552"/>
    <n v="466"/>
    <n v="50"/>
    <n v="9.32"/>
    <n v="48.66"/>
    <n v="2.62"/>
    <n v="4.97"/>
    <n v="2.9"/>
    <n v="2.75"/>
    <n v="2.76"/>
    <n v="2.12"/>
    <n v="5.43"/>
    <n v="5.2"/>
    <n v="4.68"/>
    <n v="4.5999999999999996"/>
    <n v="48.49"/>
    <n v="57.85"/>
    <n v="46.64"/>
    <n v="41.94"/>
  </r>
  <r>
    <x v="7"/>
    <s v="DVN"/>
    <x v="9"/>
    <n v="510"/>
    <n v="47"/>
    <n v="42"/>
    <n v="174"/>
    <n v="1044"/>
    <n v="7"/>
    <n v="8"/>
    <n v="40"/>
    <n v="49.166666666666664"/>
    <n v="295"/>
    <n v="223.16666666666666"/>
    <n v="1339"/>
    <n v="0.77968633308439139"/>
    <n v="0.4885057471264368"/>
    <n v="0.27011494252873564"/>
    <n v="0.2413793103448276"/>
    <n v="34"/>
    <n v="38"/>
    <n v="254"/>
    <n v="686"/>
    <n v="236"/>
    <n v="114.33333333333334"/>
    <n v="39.333333333333343"/>
    <n v="0.5244444444444446"/>
    <m/>
    <n v="525"/>
    <n v="280"/>
    <n v="33"/>
    <n v="0"/>
    <n v="838"/>
    <n v="-20"/>
    <n v="36"/>
    <n v="8"/>
    <n v="0"/>
    <n v="24"/>
    <n v="35"/>
    <n v="42"/>
    <n v="7"/>
    <n v="0"/>
    <n v="84"/>
    <n v="1486"/>
    <n v="247.66666666666666"/>
    <n v="1356"/>
    <n v="237"/>
    <n v="345"/>
    <n v="1034"/>
    <n v="2972"/>
    <n v="18602"/>
    <n v="308.16666666666663"/>
    <n v="1849"/>
    <n v="60.363439697133593"/>
    <n v="10.060573282855598"/>
    <m/>
    <n v="1123"/>
    <n v="0"/>
    <n v="148"/>
    <n v="148"/>
    <n v="-159"/>
    <n v="0"/>
    <n v="-49.352029600044652"/>
    <n v="0"/>
    <n v="200"/>
    <n v="200"/>
    <n v="488"/>
    <n v="0"/>
    <n v="151.47038015611187"/>
    <n v="4182"/>
    <n v="10505"/>
    <m/>
    <n v="1573.1183505560673"/>
    <n v="9.0409100606670538"/>
    <n v="1.5068183434445088"/>
    <m/>
    <n v="4545.1183505560675"/>
    <n v="454.51183505560675"/>
    <n v="0.15293130385451101"/>
    <n v="2.6121369830781997"/>
    <n v="0.43535616384636661"/>
    <n v="106.9080459770115"/>
    <n v="17.81800766283525"/>
    <n v="69.404349757800645"/>
    <n v="72.016486740878847"/>
    <n v="176.31239573481213"/>
    <n v="11.567391626300108"/>
    <n v="12.002747790146474"/>
    <n v="29.385399289135357"/>
    <n v="4"/>
    <n v="6.9404349757800645"/>
    <n v="1207.6356857857313"/>
    <n v="0.4063377139252124"/>
    <m/>
    <n v="3437"/>
    <m/>
    <n v="239.48197499999998"/>
    <n v="144.26624999999999"/>
    <n v="1.66"/>
    <n v="228.51554999999999"/>
    <n v="139.33875"/>
    <n v="1.64"/>
    <n v="265.79300000000006"/>
    <n v="120.81500000000001"/>
    <n v="2.2000000000000002"/>
    <n v="240.30947499999996"/>
    <n v="105.57999999999997"/>
    <n v="2.2760889846561851"/>
    <n v="974.09999999999991"/>
    <n v="510"/>
    <n v="1.91"/>
    <n v="446.27819999999997"/>
    <n v="16.79"/>
    <n v="26.58"/>
    <n v="517.86199999999997"/>
    <n v="14.6"/>
    <n v="35.47"/>
    <n v="517.24879999999996"/>
    <n v="12.41"/>
    <n v="41.68"/>
    <n v="209.67100000000005"/>
    <n v="3.2000000000000011"/>
    <n v="65.522187499999987"/>
    <n v="1691.06"/>
    <n v="47"/>
    <n v="35.979999999999997"/>
    <n v="85.50855"/>
    <n v="12.501250000000001"/>
    <n v="6.84"/>
    <n v="118.22258750000002"/>
    <n v="11.953750000000001"/>
    <n v="9.89"/>
    <n v="93.951000000000008"/>
    <n v="9.49"/>
    <n v="9.9"/>
    <n v="109.71786249999992"/>
    <n v="8.0549999999999979"/>
    <n v="13.621087833643694"/>
    <n v="407.4"/>
    <n v="42"/>
    <n v="9.6999999999999993"/>
    <n v="43.2"/>
    <n v="2.52"/>
    <n v="5.04"/>
    <n v="1.99"/>
    <n v="2.15"/>
    <n v="2.88"/>
    <n v="3.04"/>
    <n v="4.0199999999999996"/>
    <n v="5"/>
    <n v="5.04"/>
    <n v="6.05"/>
    <n v="33.35"/>
    <n v="45.46"/>
    <n v="44.85"/>
    <n v="49.14"/>
  </r>
  <r>
    <x v="8"/>
    <s v="ECA"/>
    <x v="0"/>
    <n v="491"/>
    <n v="5.2"/>
    <n v="0"/>
    <n v="87.033333333333331"/>
    <n v="522.20000000000005"/>
    <n v="811"/>
    <n v="33"/>
    <n v="0"/>
    <n v="168.16666666666666"/>
    <n v="1009"/>
    <n v="255.2"/>
    <n v="1531.2"/>
    <n v="0.34103970741901779"/>
    <n v="0.94025277671390262"/>
    <n v="5.9747223286097287E-2"/>
    <n v="0"/>
    <n v="21.3"/>
    <n v="0"/>
    <n v="2640"/>
    <n v="2767.8"/>
    <m/>
    <n v="461.3"/>
    <m/>
    <m/>
    <m/>
    <n v="78"/>
    <n v="827"/>
    <n v="211"/>
    <n v="0"/>
    <n v="1116"/>
    <n v="3.6"/>
    <n v="5.9"/>
    <n v="0"/>
    <n v="0"/>
    <n v="9.5"/>
    <n v="0"/>
    <n v="0"/>
    <n v="0"/>
    <n v="0"/>
    <n v="0"/>
    <n v="1173"/>
    <n v="195.5"/>
    <n v="1048"/>
    <n v="1565"/>
    <n v="48"/>
    <n v="1887"/>
    <n v="4548"/>
    <m/>
    <m/>
    <m/>
    <m/>
    <m/>
    <s v="Costs and adds include oil. Sales excluded. "/>
    <m/>
    <m/>
    <m/>
    <m/>
    <m/>
    <m/>
    <m/>
    <m/>
    <m/>
    <m/>
    <m/>
    <m/>
    <m/>
    <n v="0"/>
    <n v="0"/>
    <m/>
    <m/>
    <m/>
    <m/>
    <m/>
    <m/>
    <m/>
    <m/>
    <m/>
    <m/>
    <m/>
    <m/>
    <m/>
    <m/>
    <m/>
    <m/>
    <m/>
    <m/>
    <n v="4"/>
    <m/>
    <m/>
    <m/>
    <m/>
    <m/>
    <m/>
    <m/>
    <m/>
    <m/>
    <m/>
    <m/>
    <m/>
    <m/>
    <m/>
    <m/>
    <m/>
    <m/>
    <m/>
    <m/>
    <m/>
    <m/>
    <m/>
    <m/>
    <m/>
    <m/>
    <m/>
    <m/>
    <m/>
    <m/>
    <m/>
    <m/>
    <m/>
    <m/>
    <m/>
    <m/>
    <m/>
    <m/>
    <m/>
    <m/>
    <m/>
    <m/>
    <m/>
    <m/>
    <m/>
    <m/>
    <m/>
    <m/>
    <m/>
    <m/>
    <m/>
    <m/>
    <n v="72.34"/>
    <n v="6.97"/>
    <n v="12.91"/>
    <m/>
    <m/>
    <m/>
    <m/>
    <m/>
    <m/>
    <m/>
    <m/>
    <m/>
    <m/>
    <m/>
    <m/>
  </r>
  <r>
    <x v="8"/>
    <s v="ECA"/>
    <x v="1"/>
    <n v="598"/>
    <n v="4.9000000000000004"/>
    <n v="0"/>
    <n v="104.56666666666668"/>
    <n v="627.4"/>
    <n v="807"/>
    <n v="32"/>
    <n v="0"/>
    <n v="166.5"/>
    <n v="999"/>
    <n v="271.06666666666666"/>
    <n v="1626.4"/>
    <n v="0.38575996064928675"/>
    <n v="0.95313994262033797"/>
    <n v="4.6860057379662097E-2"/>
    <n v="0"/>
    <n v="17.7"/>
    <n v="0"/>
    <n v="2111"/>
    <n v="2217.1999999999998"/>
    <n v="-550.60000000000036"/>
    <n v="369.5333333333333"/>
    <n v="-91.766666666666708"/>
    <n v="-0.19893055856637049"/>
    <m/>
    <n v="-166"/>
    <n v="655"/>
    <n v="7"/>
    <n v="0"/>
    <n v="496"/>
    <n v="-3.6"/>
    <n v="3.8"/>
    <n v="0"/>
    <n v="0"/>
    <n v="0.19999999999999973"/>
    <n v="0"/>
    <n v="0"/>
    <n v="0"/>
    <n v="0"/>
    <n v="0"/>
    <n v="497.2"/>
    <n v="82.866666666666674"/>
    <n v="1006"/>
    <n v="17"/>
    <n v="197"/>
    <n v="2485"/>
    <n v="3705"/>
    <m/>
    <m/>
    <m/>
    <m/>
    <m/>
    <s v="Costs and adds include oil. Sales excluded. "/>
    <m/>
    <m/>
    <m/>
    <m/>
    <m/>
    <m/>
    <m/>
    <m/>
    <m/>
    <m/>
    <m/>
    <m/>
    <m/>
    <n v="0"/>
    <n v="0"/>
    <m/>
    <m/>
    <m/>
    <m/>
    <m/>
    <m/>
    <m/>
    <m/>
    <m/>
    <m/>
    <m/>
    <m/>
    <m/>
    <m/>
    <m/>
    <m/>
    <m/>
    <m/>
    <n v="4"/>
    <m/>
    <m/>
    <m/>
    <m/>
    <m/>
    <m/>
    <m/>
    <m/>
    <m/>
    <m/>
    <m/>
    <m/>
    <m/>
    <m/>
    <m/>
    <m/>
    <m/>
    <m/>
    <m/>
    <m/>
    <m/>
    <m/>
    <m/>
    <m/>
    <m/>
    <m/>
    <m/>
    <m/>
    <m/>
    <m/>
    <m/>
    <m/>
    <m/>
    <m/>
    <m/>
    <m/>
    <m/>
    <m/>
    <m/>
    <m/>
    <m/>
    <m/>
    <m/>
    <m/>
    <m/>
    <m/>
    <m/>
    <m/>
    <m/>
    <m/>
    <m/>
    <n v="99.67"/>
    <n v="8.86"/>
    <n v="15.2"/>
    <m/>
    <m/>
    <m/>
    <m/>
    <m/>
    <m/>
    <m/>
    <m/>
    <m/>
    <m/>
    <m/>
    <m/>
  </r>
  <r>
    <x v="8"/>
    <s v="ECA"/>
    <x v="2"/>
    <n v="590"/>
    <n v="4.0999999999999996"/>
    <n v="0"/>
    <n v="102.43333333333332"/>
    <n v="614.6"/>
    <n v="725"/>
    <n v="27.2"/>
    <n v="0"/>
    <n v="148.03333333333333"/>
    <n v="888.2"/>
    <n v="250.46666666666664"/>
    <n v="1502.8000000000002"/>
    <n v="0.40896992281075323"/>
    <n v="0.95997396680767977"/>
    <n v="4.0026033192320211E-2"/>
    <n v="0"/>
    <n v="15.4"/>
    <n v="0"/>
    <n v="2142"/>
    <n v="2234.4"/>
    <n v="17.200000000000273"/>
    <n v="372.4"/>
    <n v="2.8666666666666742"/>
    <n v="7.7575320223705786E-3"/>
    <m/>
    <n v="-845"/>
    <n v="1406"/>
    <n v="0"/>
    <n v="0"/>
    <n v="561"/>
    <n v="-12.6"/>
    <n v="6.5"/>
    <n v="0"/>
    <n v="0"/>
    <n v="-6.1"/>
    <n v="0"/>
    <n v="0"/>
    <n v="0"/>
    <n v="0"/>
    <n v="0"/>
    <n v="524.4"/>
    <n v="87.4"/>
    <n v="46"/>
    <n v="0"/>
    <n v="133"/>
    <n v="1688"/>
    <n v="1867"/>
    <n v="10120"/>
    <n v="365.76666666666665"/>
    <n v="2194.6"/>
    <n v="27.667912147999637"/>
    <n v="4.6113186913332731"/>
    <s v="Costs and adds include oil. Sales excluded. "/>
    <n v="964"/>
    <n v="477"/>
    <n v="0"/>
    <n v="195.0786531807293"/>
    <n v="766"/>
    <n v="0"/>
    <n v="313.27096087303704"/>
    <n v="0"/>
    <n v="118"/>
    <n v="118"/>
    <n v="533"/>
    <n v="0"/>
    <n v="217.98096885813149"/>
    <n v="12122"/>
    <n v="12122"/>
    <n v="0.40896992281075328"/>
    <n v="1808.3305829118979"/>
    <n v="17.653731691297409"/>
    <n v="2.9422886152162344"/>
    <s v="Excludes asset retirement obligations accretions"/>
    <n v="3675.3305829118981"/>
    <n v="367.53305829118983"/>
    <n v="0.19685755666373317"/>
    <n v="3.588022046448323"/>
    <n v="0.59800367440805369"/>
    <n v="18.226488773185814"/>
    <n v="3.037748128864302"/>
    <n v="45.321643839297046"/>
    <n v="48.909665885745369"/>
    <n v="63.54813261248286"/>
    <n v="7.5536073065495071"/>
    <n v="8.1516109809575603"/>
    <n v="10.59135543541381"/>
    <n v="4"/>
    <n v="4.5321643839297048"/>
    <n v="464.24470506053274"/>
    <n v="0.24865811733290452"/>
    <m/>
    <n v="1146"/>
    <m/>
    <m/>
    <m/>
    <m/>
    <m/>
    <m/>
    <m/>
    <m/>
    <m/>
    <m/>
    <m/>
    <m/>
    <m/>
    <m/>
    <m/>
    <m/>
    <m/>
    <m/>
    <m/>
    <m/>
    <m/>
    <m/>
    <m/>
    <m/>
    <m/>
    <m/>
    <m/>
    <m/>
    <m/>
    <m/>
    <m/>
    <m/>
    <m/>
    <m/>
    <m/>
    <m/>
    <m/>
    <m/>
    <m/>
    <m/>
    <m/>
    <m/>
    <m/>
    <m/>
    <m/>
    <m/>
    <n v="61.95"/>
    <n v="3.94"/>
    <n v="8.99"/>
    <m/>
    <m/>
    <m/>
    <m/>
    <m/>
    <m/>
    <m/>
    <m/>
    <m/>
    <m/>
    <m/>
    <m/>
  </r>
  <r>
    <x v="8"/>
    <s v="ECA"/>
    <x v="3"/>
    <n v="679"/>
    <n v="3.5"/>
    <n v="0"/>
    <n v="116.66666666666667"/>
    <n v="700"/>
    <n v="483"/>
    <n v="4.8"/>
    <n v="0"/>
    <n v="85.3"/>
    <n v="511.8"/>
    <n v="201.96666666666667"/>
    <n v="1211.8"/>
    <n v="0.57765307806568744"/>
    <n v="0.97"/>
    <n v="0.03"/>
    <n v="0"/>
    <n v="14.2"/>
    <n v="0"/>
    <n v="3505"/>
    <n v="3590.2"/>
    <n v="1355.7999999999997"/>
    <n v="598.36666666666667"/>
    <n v="225.9666666666667"/>
    <n v="0.60678481919083438"/>
    <m/>
    <n v="517"/>
    <n v="1808"/>
    <n v="81"/>
    <n v="0"/>
    <n v="2406"/>
    <n v="0.2"/>
    <n v="4.7"/>
    <n v="0.5"/>
    <n v="0"/>
    <n v="5.4"/>
    <n v="0"/>
    <n v="0"/>
    <n v="0"/>
    <n v="0"/>
    <n v="0"/>
    <n v="2438.4"/>
    <n v="406.4"/>
    <n v="97"/>
    <n v="44"/>
    <n v="198"/>
    <n v="2301"/>
    <n v="2640"/>
    <n v="8212"/>
    <n v="576.66666666666663"/>
    <n v="3460"/>
    <n v="14.240462427745666"/>
    <n v="2.3734104046242774"/>
    <s v="Costs and adds include oil. Sales excluded. "/>
    <n v="1130"/>
    <n v="361"/>
    <n v="0"/>
    <n v="208.53276118171317"/>
    <n v="2024"/>
    <n v="0"/>
    <n v="1169.1698300049513"/>
    <n v="0"/>
    <n v="209"/>
    <n v="209"/>
    <n v="485"/>
    <n v="0"/>
    <n v="280.16174286185839"/>
    <n v="7104"/>
    <n v="7104"/>
    <n v="0.57765307806568744"/>
    <n v="2996.8643340485228"/>
    <n v="25.687408577558767"/>
    <n v="4.2812347629264611"/>
    <s v="Excludes asset retirement obligations accretions"/>
    <n v="5636.8643340485232"/>
    <n v="563.68643340485232"/>
    <n v="0.21351758841092891"/>
    <n v="4.8315980006130195"/>
    <n v="0.80526633343550336"/>
    <n v="22.628571428571426"/>
    <n v="3.7714285714285714"/>
    <n v="39.927871005304432"/>
    <n v="44.759469005917452"/>
    <n v="62.556442433875858"/>
    <n v="6.6546451675507381"/>
    <n v="7.4599115009862418"/>
    <n v="10.426073738979309"/>
    <n v="4"/>
    <n v="3.9927871005304434"/>
    <n v="465.82516172855173"/>
    <n v="0.1764489248971787"/>
    <m/>
    <n v="1044"/>
    <m/>
    <m/>
    <m/>
    <m/>
    <m/>
    <m/>
    <m/>
    <m/>
    <m/>
    <m/>
    <m/>
    <m/>
    <m/>
    <m/>
    <m/>
    <m/>
    <m/>
    <m/>
    <m/>
    <m/>
    <m/>
    <m/>
    <m/>
    <m/>
    <m/>
    <m/>
    <m/>
    <m/>
    <m/>
    <m/>
    <m/>
    <m/>
    <m/>
    <m/>
    <m/>
    <m/>
    <m/>
    <m/>
    <m/>
    <m/>
    <m/>
    <m/>
    <m/>
    <m/>
    <m/>
    <m/>
    <n v="79.48"/>
    <n v="4.37"/>
    <n v="11.83"/>
    <m/>
    <m/>
    <m/>
    <m/>
    <m/>
    <m/>
    <m/>
    <m/>
    <m/>
    <m/>
    <m/>
    <m/>
  </r>
  <r>
    <x v="8"/>
    <s v="ECA"/>
    <x v="4"/>
    <n v="685"/>
    <n v="3.5"/>
    <n v="0"/>
    <n v="117.66666666666667"/>
    <n v="706"/>
    <n v="531"/>
    <n v="5.3"/>
    <n v="0"/>
    <n v="93.8"/>
    <n v="562.79999999999995"/>
    <n v="211.46666666666667"/>
    <n v="1268.8"/>
    <n v="0.55643127364438838"/>
    <n v="0.97025495750708213"/>
    <n v="2.9745042492917845E-2"/>
    <n v="0"/>
    <n v="13.8"/>
    <n v="0"/>
    <n v="3225"/>
    <n v="3307.8"/>
    <n v="-282.39999999999964"/>
    <n v="551.29999999999995"/>
    <n v="-47.06666666666672"/>
    <n v="-7.8658570553172616E-2"/>
    <m/>
    <n v="-204"/>
    <n v="1121"/>
    <n v="23"/>
    <n v="0"/>
    <n v="940"/>
    <n v="-0.7"/>
    <n v="5.4"/>
    <n v="0.3"/>
    <n v="0"/>
    <n v="5"/>
    <n v="0"/>
    <n v="0"/>
    <n v="0"/>
    <n v="0"/>
    <n v="0"/>
    <n v="970"/>
    <n v="161.66666666666666"/>
    <n v="53"/>
    <n v="52"/>
    <n v="181"/>
    <n v="2242"/>
    <n v="2528"/>
    <n v="7035"/>
    <n v="655.46666666666658"/>
    <n v="3932.8"/>
    <n v="10.732811228641173"/>
    <n v="1.7888018714401952"/>
    <s v="Costs and adds include oil. Sales excluded. "/>
    <n v="1172"/>
    <n v="350"/>
    <n v="0"/>
    <n v="194.75094577553594"/>
    <n v="-88"/>
    <n v="0"/>
    <n v="-48.965952080706174"/>
    <n v="0"/>
    <n v="183"/>
    <n v="183"/>
    <n v="488"/>
    <n v="0"/>
    <n v="271.53846153846155"/>
    <n v="6894"/>
    <n v="6894"/>
    <n v="0.55643127364438838"/>
    <n v="1772.3234552332913"/>
    <n v="15.062238996316923"/>
    <n v="2.5103731660528203"/>
    <s v="Excludes asset retirement obligations accretions"/>
    <n v="4300.3234552332915"/>
    <n v="430.03234552332918"/>
    <n v="0.17010773161524098"/>
    <n v="3.6546658259773017"/>
    <n v="0.60911097099621703"/>
    <n v="21.48441926345609"/>
    <n v="3.5807365439093486"/>
    <n v="25.795050224958096"/>
    <n v="29.449716050935397"/>
    <n v="47.279469488414186"/>
    <n v="4.2991750374930158"/>
    <n v="4.9082860084892328"/>
    <n v="7.8799115814023644"/>
    <n v="4"/>
    <n v="2.5795050224958098"/>
    <n v="303.52175764700695"/>
    <n v="0.12006398641099958"/>
    <m/>
    <n v="458"/>
    <m/>
    <m/>
    <m/>
    <m/>
    <m/>
    <m/>
    <m/>
    <m/>
    <m/>
    <m/>
    <m/>
    <m/>
    <m/>
    <m/>
    <m/>
    <m/>
    <m/>
    <m/>
    <m/>
    <m/>
    <m/>
    <m/>
    <m/>
    <m/>
    <m/>
    <m/>
    <m/>
    <m/>
    <m/>
    <m/>
    <m/>
    <m/>
    <m/>
    <m/>
    <m/>
    <m/>
    <m/>
    <m/>
    <m/>
    <m/>
    <m/>
    <m/>
    <m/>
    <m/>
    <m/>
    <m/>
    <n v="94.88"/>
    <n v="4"/>
    <n v="15.12"/>
    <m/>
    <m/>
    <m/>
    <m/>
    <m/>
    <m/>
    <m/>
    <m/>
    <m/>
    <m/>
    <m/>
    <m/>
  </r>
  <r>
    <x v="8"/>
    <s v="ECA"/>
    <x v="5"/>
    <n v="593"/>
    <n v="3.8"/>
    <n v="0.4"/>
    <n v="103.03333333333333"/>
    <n v="618.19999999999993"/>
    <n v="497"/>
    <n v="2.6"/>
    <n v="4.5"/>
    <n v="89.933333333333323"/>
    <n v="539.6"/>
    <n v="192.96666666666664"/>
    <n v="1157.8"/>
    <n v="0.53394368630160649"/>
    <n v="0.95923649304432235"/>
    <n v="3.6881268197994178E-2"/>
    <n v="3.8822387576835978E-3"/>
    <n v="65.3"/>
    <n v="0"/>
    <n v="1614"/>
    <n v="2005.8"/>
    <n v="-1302.0000000000002"/>
    <n v="334.3"/>
    <n v="-216.99999999999994"/>
    <n v="-0.39361509160166869"/>
    <m/>
    <n v="-1701"/>
    <n v="338"/>
    <n v="8"/>
    <n v="0"/>
    <n v="-1355"/>
    <n v="38.9"/>
    <n v="39.200000000000003"/>
    <n v="0.1"/>
    <n v="0"/>
    <n v="78.199999999999989"/>
    <n v="0"/>
    <n v="0"/>
    <n v="0"/>
    <n v="0"/>
    <n v="0"/>
    <n v="-885.80000000000007"/>
    <n v="-147.63333333333335"/>
    <n v="235"/>
    <n v="5"/>
    <n v="633"/>
    <n v="1094"/>
    <n v="1967"/>
    <n v="7135"/>
    <n v="420.43333333333328"/>
    <n v="2522.6"/>
    <n v="16.970585903432969"/>
    <n v="2.8284309839054944"/>
    <s v="Costs and adds include oil. Sales excluded. "/>
    <n v="1029"/>
    <n v="392"/>
    <n v="0"/>
    <n v="209.30592503022973"/>
    <n v="-124"/>
    <n v="0"/>
    <n v="-66.209017101399212"/>
    <n v="0"/>
    <n v="96"/>
    <n v="96"/>
    <n v="474"/>
    <n v="0"/>
    <n v="253.08930730696147"/>
    <n v="6125"/>
    <n v="6125"/>
    <n v="0.53394368630160649"/>
    <n v="1521.1862152357919"/>
    <n v="14.764020206106036"/>
    <n v="2.4606700343510064"/>
    <s v="Excludes asset retirement obligations accretions"/>
    <n v="3488.1862152357917"/>
    <n v="348.81862152357917"/>
    <n v="0.17733534393674588"/>
    <n v="3.3854929297015124"/>
    <n v="0.56424882161691881"/>
    <n v="19.09090909090909"/>
    <n v="3.1818181818181821"/>
    <n v="31.734606109539005"/>
    <n v="35.120099039240515"/>
    <n v="50.825515200448095"/>
    <n v="5.2891010182565008"/>
    <n v="5.8533498398734194"/>
    <n v="8.4709192000746825"/>
    <n v="4"/>
    <n v="3.1734606109539003"/>
    <n v="326.97222494861688"/>
    <n v="0.16622888914520431"/>
    <m/>
    <n v="579"/>
    <m/>
    <n v="743.48857499999997"/>
    <n v="162.33374999999998"/>
    <n v="4.58"/>
    <n v="684.04193750000002"/>
    <n v="142.80625000000001"/>
    <n v="4.79"/>
    <n v="719.54822500000012"/>
    <n v="146.54750000000001"/>
    <n v="4.91"/>
    <n v="711.18126250000012"/>
    <n v="141.3125"/>
    <n v="5.0326847412649283"/>
    <n v="2858.26"/>
    <n v="593"/>
    <n v="4.82"/>
    <n v="77.256312797619032"/>
    <n v="0.83385119047619027"/>
    <n v="92.65"/>
    <n v="51.743531075581387"/>
    <n v="0.61148110465116268"/>
    <n v="84.62"/>
    <n v="81.279190714285733"/>
    <n v="1.015482142857143"/>
    <n v="80.040000000000006"/>
    <n v="109.14896541251385"/>
    <n v="1.3391855620155038"/>
    <n v="81.503989072464492"/>
    <n v="319.428"/>
    <n v="3.8"/>
    <n v="84.06"/>
    <n v="6.3460464285714275"/>
    <n v="8.7773809523809518E-2"/>
    <n v="72.3"/>
    <n v="7.1569895238095231"/>
    <n v="9.8202380952380944E-2"/>
    <n v="72.88"/>
    <n v="6.5568078571428581"/>
    <n v="0.10689285714285715"/>
    <n v="61.34"/>
    <n v="5.2881561904761911"/>
    <n v="0.10713095238095245"/>
    <n v="49.361609067674159"/>
    <n v="25.347999999999999"/>
    <n v="0.4"/>
    <n v="63.37"/>
    <n v="94.05"/>
    <n v="2.75"/>
    <n v="10.98"/>
    <n v="2.41"/>
    <n v="2.2799999999999998"/>
    <n v="2.88"/>
    <n v="3.4"/>
    <n v="13.14"/>
    <n v="10.75"/>
    <n v="9.9600000000000009"/>
    <n v="10.08"/>
    <n v="102.98"/>
    <n v="93.29"/>
    <n v="92.17"/>
    <n v="88.01"/>
  </r>
  <r>
    <x v="8"/>
    <s v="ECA"/>
    <x v="6"/>
    <n v="491"/>
    <n v="5.0999999999999996"/>
    <n v="3.5"/>
    <n v="90.433333333333323"/>
    <n v="542.6"/>
    <n v="523"/>
    <n v="4.3"/>
    <n v="6.8"/>
    <n v="98.266666666666666"/>
    <n v="589.59999999999991"/>
    <n v="188.7"/>
    <n v="1132.1999999999998"/>
    <n v="0.47924394983218521"/>
    <n v="0.90490232215259858"/>
    <n v="5.6395134537412461E-2"/>
    <n v="3.8702543309988943E-2"/>
    <n v="23.4"/>
    <n v="32"/>
    <n v="1258"/>
    <n v="1590.4"/>
    <n v="-415.39999999999986"/>
    <n v="265.06666666666666"/>
    <n v="-69.233333333333348"/>
    <n v="-0.20709941170605248"/>
    <m/>
    <n v="-362"/>
    <n v="482"/>
    <n v="7"/>
    <n v="0"/>
    <n v="127"/>
    <n v="-17.3"/>
    <n v="27.6"/>
    <n v="0.6"/>
    <n v="0"/>
    <n v="10.9"/>
    <n v="0"/>
    <n v="0"/>
    <n v="0"/>
    <n v="0"/>
    <n v="0"/>
    <n v="192.4"/>
    <n v="32.06666666666667"/>
    <n v="111"/>
    <n v="45"/>
    <n v="412"/>
    <n v="871"/>
    <n v="1439"/>
    <n v="5934"/>
    <n v="46.099999999999973"/>
    <n v="276.59999999999991"/>
    <n v="128.72017353579184"/>
    <n v="21.453362255965299"/>
    <s v="Costs and adds include oil. Sales excluded. "/>
    <n v="1139"/>
    <n v="439"/>
    <n v="0"/>
    <n v="210.38809397632932"/>
    <n v="-186"/>
    <n v="0"/>
    <n v="-89.139374668786445"/>
    <n v="0"/>
    <n v="113"/>
    <n v="113"/>
    <n v="460"/>
    <n v="0"/>
    <n v="220.45221692280521"/>
    <n v="5726"/>
    <n v="5726"/>
    <n v="0.47924394983218521"/>
    <n v="1593.7009362303479"/>
    <n v="17.622937002178563"/>
    <n v="2.9371561670297601"/>
    <s v="Excludes asset retirement obligations accretions"/>
    <n v="3032.7009362303479"/>
    <n v="303.27009362303482"/>
    <n v="0.21075058625645227"/>
    <n v="3.3535211237342595"/>
    <n v="0.55892018728904314"/>
    <n v="15.912274235164027"/>
    <n v="2.6520457058606706"/>
    <n v="146.3431105379704"/>
    <n v="149.69663166170466"/>
    <n v="162.25538477313444"/>
    <n v="24.390518422995058"/>
    <n v="24.949438610284101"/>
    <n v="27.04256412885573"/>
    <n v="4"/>
    <n v="14.63431105379704"/>
    <n v="1323.4295296317121"/>
    <n v="0.91968695596366368"/>
    <m/>
    <n v="470"/>
    <m/>
    <n v="512.48737500000004"/>
    <n v="132.76875000000001"/>
    <n v="3.86"/>
    <n v="533.47852499999999"/>
    <n v="127.93249999999999"/>
    <n v="4.17"/>
    <n v="477.78499999999997"/>
    <n v="119.44624999999999"/>
    <n v="4"/>
    <n v="484.43909999999994"/>
    <n v="110.85249999999999"/>
    <n v="4.3701233621253461"/>
    <n v="2008.1899999999998"/>
    <n v="491"/>
    <n v="4.09"/>
    <n v="94.662956904069759"/>
    <n v="1.0552107558139534"/>
    <n v="89.71"/>
    <n v="103.1742868604651"/>
    <n v="1.1688488372093022"/>
    <n v="88.27"/>
    <n v="124.28045005813952"/>
    <n v="1.3744796511627906"/>
    <n v="90.42"/>
    <n v="127.65130617732557"/>
    <n v="1.5014607558139534"/>
    <n v="85.018077018020236"/>
    <n v="449.76899999999995"/>
    <n v="5.0999999999999996"/>
    <n v="88.19"/>
    <n v="37.830340116279075"/>
    <n v="0.72416424418604652"/>
    <n v="52.24"/>
    <n v="39.810762209302332"/>
    <n v="0.80215116279069776"/>
    <n v="49.63"/>
    <n v="43.720580668604647"/>
    <n v="0.94327034883720917"/>
    <n v="46.35"/>
    <n v="49.963317005813963"/>
    <n v="1.0304142441860469"/>
    <n v="48.488573685509742"/>
    <n v="171.32500000000002"/>
    <n v="3.5"/>
    <n v="48.95"/>
    <n v="97.98"/>
    <n v="3.73"/>
    <n v="9.94"/>
    <n v="3.49"/>
    <n v="4.01"/>
    <n v="3.56"/>
    <n v="3.85"/>
    <n v="9.77"/>
    <n v="9.39"/>
    <n v="10.01"/>
    <n v="10.53"/>
    <n v="94.33"/>
    <n v="94.05"/>
    <n v="105.83"/>
    <n v="97.44"/>
  </r>
  <r>
    <x v="8"/>
    <s v="ECA"/>
    <x v="7"/>
    <n v="355"/>
    <n v="13.1"/>
    <n v="5"/>
    <n v="77.266666666666666"/>
    <n v="463.6"/>
    <n v="503"/>
    <n v="5"/>
    <n v="8.6"/>
    <n v="97.433333333333323"/>
    <n v="584.6"/>
    <n v="174.7"/>
    <n v="1048.2"/>
    <n v="0.44228200725052469"/>
    <n v="0.76574633304572903"/>
    <n v="0.16954270923209663"/>
    <n v="6.4710957722174292E-2"/>
    <n v="81.8"/>
    <n v="36.799999999999997"/>
    <n v="660"/>
    <n v="1371.6"/>
    <n v="-218.80000000000018"/>
    <n v="228.6"/>
    <n v="-36.466666666666669"/>
    <n v="-0.13757545271629779"/>
    <m/>
    <n v="-511"/>
    <n v="493"/>
    <n v="234"/>
    <n v="0"/>
    <n v="216"/>
    <n v="-2.7"/>
    <n v="21.4"/>
    <n v="148.19999999999999"/>
    <n v="0"/>
    <n v="166.89999999999998"/>
    <n v="-2.6"/>
    <n v="8.8000000000000007"/>
    <n v="52.9"/>
    <n v="0"/>
    <n v="59.1"/>
    <n v="1572"/>
    <n v="262"/>
    <n v="5452"/>
    <n v="5008"/>
    <n v="38"/>
    <n v="1247"/>
    <n v="11745"/>
    <n v="15151"/>
    <n v="146.43333333333331"/>
    <n v="878.59999999999991"/>
    <n v="103.4668791258821"/>
    <n v="17.244479854313681"/>
    <s v=" In 2014, Unproved includes $5,338 million from the acquisition of Athlon._x000a_ In 2014, Unproved includes $5,338 million from the acquisition of Athlon._x000a_2014, Unproved includes $5,338 million and Proved includes $2,127 million from the acquisition of Athlon"/>
    <n v="984"/>
    <n v="327"/>
    <n v="0"/>
    <n v="144.62621637092158"/>
    <n v="43"/>
    <n v="0"/>
    <n v="19.018126311772562"/>
    <n v="0"/>
    <n v="146"/>
    <n v="146"/>
    <n v="509"/>
    <n v="0"/>
    <n v="225.12154169051706"/>
    <n v="6212"/>
    <n v="6212"/>
    <n v="0.44228200725052469"/>
    <n v="1518.7658843732111"/>
    <n v="19.656158986711102"/>
    <n v="3.2760264977851832"/>
    <m/>
    <n v="13263.765884373212"/>
    <n v="1326.3765884373213"/>
    <n v="0.11293116972646414"/>
    <n v="17.166219867609854"/>
    <n v="2.8610366446016422"/>
    <n v="152.00603968938739"/>
    <n v="25.334339948231232"/>
    <n v="123.12303811259321"/>
    <n v="140.28925798020305"/>
    <n v="275.1290778019806"/>
    <n v="20.520506352098863"/>
    <n v="23.381542996700507"/>
    <n v="45.854846300330095"/>
    <n v="4"/>
    <n v="12.312303811259321"/>
    <n v="951.33067448330348"/>
    <n v="8.0998780288063302E-2"/>
    <m/>
    <n v="5655"/>
    <m/>
    <n v="659.06407500000012"/>
    <n v="113.24125000000001"/>
    <n v="5.82"/>
    <n v="401.33940000000001"/>
    <n v="98.367500000000007"/>
    <n v="4.08"/>
    <n v="303.38343750000001"/>
    <n v="75.28125"/>
    <n v="4.03"/>
    <n v="265.66308749999996"/>
    <n v="68.109999999999985"/>
    <n v="3.9005004771692851"/>
    <n v="1629.45"/>
    <n v="355"/>
    <n v="4.59"/>
    <n v="123.69284249999998"/>
    <n v="1.4326249999999998"/>
    <n v="86.34"/>
    <n v="165.88018124999999"/>
    <n v="1.8523749999999999"/>
    <n v="89.55"/>
    <n v="390.22405499999996"/>
    <n v="4.3252499999999996"/>
    <n v="90.22"/>
    <n v="447.19592125000008"/>
    <n v="5.4897500000000008"/>
    <n v="81.460161437223917"/>
    <n v="1126.9929999999999"/>
    <n v="13.1"/>
    <n v="86.03"/>
    <n v="54.973379999999999"/>
    <n v="1.022"/>
    <n v="53.79"/>
    <n v="47.321793749999998"/>
    <n v="0.958125"/>
    <n v="49.39"/>
    <n v="63.625704999999996"/>
    <n v="1.304875"/>
    <n v="48.76"/>
    <n v="74.529121250000031"/>
    <n v="1.7150000000000001"/>
    <n v="43.457213556851329"/>
    <n v="240.45000000000002"/>
    <n v="5"/>
    <n v="48.09"/>
    <n v="93.17"/>
    <n v="4.37"/>
    <n v="9.56"/>
    <n v="5.21"/>
    <n v="4.6100000000000003"/>
    <n v="3.96"/>
    <n v="3.8"/>
    <n v="11.19"/>
    <n v="10.15"/>
    <n v="9.83"/>
    <n v="7.41"/>
    <n v="98.68"/>
    <n v="103.35"/>
    <n v="97.87"/>
    <n v="73.209999999999994"/>
  </r>
  <r>
    <x v="8"/>
    <s v="ECA"/>
    <x v="8"/>
    <n v="241"/>
    <n v="29.7"/>
    <n v="8.6"/>
    <n v="78.466666666666654"/>
    <n v="470.79999999999995"/>
    <n v="354"/>
    <n v="2"/>
    <n v="8.3000000000000007"/>
    <n v="69.3"/>
    <n v="415.8"/>
    <n v="147.76666666666665"/>
    <n v="886.59999999999991"/>
    <n v="0.53101736972704716"/>
    <n v="0.51189464740866619"/>
    <n v="0.3785046728971963"/>
    <n v="0.10960067969413766"/>
    <n v="66.3"/>
    <n v="24"/>
    <n v="184"/>
    <n v="725.8"/>
    <n v="-645.79999999999995"/>
    <n v="120.96666666666667"/>
    <n v="-107.63333333333333"/>
    <n v="-0.47083697871099445"/>
    <m/>
    <n v="-342"/>
    <n v="159"/>
    <n v="0"/>
    <n v="0"/>
    <n v="-183"/>
    <n v="-73.599999999999994"/>
    <n v="68.400000000000006"/>
    <n v="0"/>
    <n v="0"/>
    <n v="-5.1999999999999886"/>
    <n v="-41.1"/>
    <n v="24.9"/>
    <n v="0"/>
    <n v="0"/>
    <n v="-16.200000000000003"/>
    <n v="-311.39999999999998"/>
    <n v="-51.899999999999991"/>
    <n v="15"/>
    <n v="12"/>
    <n v="3"/>
    <n v="1844"/>
    <n v="1874"/>
    <n v="15058"/>
    <n v="242.16666666666669"/>
    <n v="1453"/>
    <n v="62.180316586373017"/>
    <n v="10.363386097728837"/>
    <m/>
    <n v="1099"/>
    <n v="275"/>
    <n v="0"/>
    <n v="146.02977667493798"/>
    <n v="-105"/>
    <n v="0"/>
    <n v="-55.75682382133995"/>
    <n v="0"/>
    <n v="116"/>
    <n v="116"/>
    <n v="497"/>
    <n v="0"/>
    <n v="263.91563275434243"/>
    <n v="4313"/>
    <n v="4313"/>
    <n v="0.53101736972704716"/>
    <n v="1569.1885856079405"/>
    <n v="19.998155296617767"/>
    <n v="3.3330258827696273"/>
    <m/>
    <n v="3443.1885856079407"/>
    <n v="344.31885856079407"/>
    <n v="0.18373471641451125"/>
    <n v="4.3880908057875203"/>
    <n v="0.73134846763125338"/>
    <n v="23.882752761257439"/>
    <n v="3.9804587935429061"/>
    <n v="82.178471882990777"/>
    <n v="86.566562688778305"/>
    <n v="106.06122464424821"/>
    <n v="13.696411980498464"/>
    <n v="14.427760448129717"/>
    <n v="17.676870774041369"/>
    <n v="4"/>
    <n v="8.2178471882990785"/>
    <n v="644.8270760418676"/>
    <n v="0.3440912892432591"/>
    <m/>
    <n v="5282"/>
    <m/>
    <n v="317.97157499999997"/>
    <n v="66.521249999999995"/>
    <n v="4.78"/>
    <n v="220.66440000000003"/>
    <n v="62.688750000000006"/>
    <n v="3.52"/>
    <n v="227.15866250000002"/>
    <n v="61.228750000000005"/>
    <n v="3.71"/>
    <n v="171.69536249999996"/>
    <n v="50.561249999999987"/>
    <n v="3.3957895127197211"/>
    <n v="937.49"/>
    <n v="241"/>
    <n v="3.89"/>
    <n v="305.86470750000001"/>
    <n v="6.6247499999999997"/>
    <n v="46.17"/>
    <n v="386.03093499999994"/>
    <n v="7.2726249999999997"/>
    <n v="53.08"/>
    <n v="390.21310499999998"/>
    <n v="7.9022499999999996"/>
    <n v="49.38"/>
    <n v="393.38725249999982"/>
    <n v="7.9003750000000013"/>
    <n v="49.793491131750045"/>
    <n v="1475.4959999999999"/>
    <n v="29.7"/>
    <n v="49.68"/>
    <n v="40.604060000000004"/>
    <n v="1.8523749999999999"/>
    <n v="21.92"/>
    <n v="47.191215"/>
    <n v="1.9436249999999999"/>
    <n v="24.28"/>
    <n v="47.501282500000002"/>
    <n v="2.4272499999999999"/>
    <n v="19.57"/>
    <n v="50.979442499999976"/>
    <n v="2.3767499999999999"/>
    <n v="21.449223729883233"/>
    <n v="186.27599999999998"/>
    <n v="8.6"/>
    <n v="21.66"/>
    <n v="48.66"/>
    <n v="2.62"/>
    <n v="4.97"/>
    <n v="2.9"/>
    <n v="2.75"/>
    <n v="2.76"/>
    <n v="2.12"/>
    <n v="5.43"/>
    <n v="5.2"/>
    <n v="4.68"/>
    <n v="4.5999999999999996"/>
    <n v="48.49"/>
    <n v="57.85"/>
    <n v="46.64"/>
    <n v="41.94"/>
  </r>
  <r>
    <x v="8"/>
    <s v="ECA"/>
    <x v="9"/>
    <n v="153"/>
    <n v="26.2"/>
    <n v="8.5"/>
    <n v="60.2"/>
    <n v="361.2"/>
    <n v="354"/>
    <n v="0.7"/>
    <n v="9.1999999999999993"/>
    <n v="68.900000000000006"/>
    <n v="413.4"/>
    <n v="129.10000000000002"/>
    <n v="774.59999999999991"/>
    <n v="0.46630518977536795"/>
    <n v="0.42358803986710963"/>
    <n v="0.43521594684385378"/>
    <n v="0.14119601328903653"/>
    <n v="73.099999999999994"/>
    <n v="68.400000000000006"/>
    <n v="142"/>
    <n v="991"/>
    <n v="265.20000000000005"/>
    <n v="165.16666666666666"/>
    <n v="44.199999999999989"/>
    <n v="0.36538991457701836"/>
    <m/>
    <n v="177"/>
    <n v="91"/>
    <n v="16"/>
    <n v="0"/>
    <n v="284"/>
    <n v="-15.6"/>
    <n v="52.2"/>
    <n v="9.6"/>
    <n v="0"/>
    <n v="46.2"/>
    <n v="-1.6"/>
    <n v="17.7"/>
    <n v="2.6"/>
    <n v="0"/>
    <n v="18.7"/>
    <n v="673.40000000000009"/>
    <n v="112.23333333333333"/>
    <n v="4"/>
    <n v="205"/>
    <n v="13"/>
    <n v="860"/>
    <n v="1082"/>
    <n v="14701"/>
    <n v="322.33333333333337"/>
    <n v="1934"/>
    <n v="45.608066184074453"/>
    <n v="7.6013443640124096"/>
    <m/>
    <n v="654"/>
    <n v="309"/>
    <n v="0"/>
    <n v="144.08830364058869"/>
    <n v="-19"/>
    <n v="0"/>
    <n v="-8.8597986057319904"/>
    <n v="0"/>
    <n v="76"/>
    <n v="76"/>
    <n v="296"/>
    <n v="0"/>
    <n v="138.02633617350892"/>
    <n v="2837"/>
    <n v="2837"/>
    <n v="0.46630518977536795"/>
    <n v="1003.2548412083656"/>
    <n v="16.665362810770194"/>
    <n v="2.777560468461699"/>
    <m/>
    <n v="2085.2548412083656"/>
    <n v="208.52548412083658"/>
    <n v="0.19272225889171588"/>
    <n v="3.4638784737680495"/>
    <n v="0.57731307896134165"/>
    <n v="17.973421926910298"/>
    <n v="2.9955703211517166"/>
    <n v="62.27342899484465"/>
    <n v="65.737307468612698"/>
    <n v="80.246850921754941"/>
    <n v="10.37890483247411"/>
    <n v="10.956217911435452"/>
    <n v="13.374475153625827"/>
    <n v="4"/>
    <n v="6.2273428994844648"/>
    <n v="374.88604254896478"/>
    <n v="0.3464750855350876"/>
    <m/>
    <n v="4913"/>
    <m/>
    <n v="78.75"/>
    <n v="37.5"/>
    <n v="2.1"/>
    <n v="78.75"/>
    <n v="37.5"/>
    <n v="2.1"/>
    <n v="78.75"/>
    <n v="37.5"/>
    <n v="2.1"/>
    <n v="78.75"/>
    <n v="37.5"/>
    <n v="2.1"/>
    <n v="315"/>
    <n v="150"/>
    <n v="2.1"/>
    <n v="270.17399999999998"/>
    <n v="5.55"/>
    <n v="48.68"/>
    <n v="270.17399999999998"/>
    <n v="5.55"/>
    <n v="48.68"/>
    <n v="270.17399999999998"/>
    <n v="5.55"/>
    <n v="48.68"/>
    <n v="270.17399999999998"/>
    <n v="5.549999999999998"/>
    <n v="48.680000000000014"/>
    <n v="1080.6959999999999"/>
    <n v="22.2"/>
    <n v="48.68"/>
    <n v="92.612499999999997"/>
    <n v="3.875"/>
    <n v="23.9"/>
    <n v="92.612499999999997"/>
    <n v="3.875"/>
    <n v="23.9"/>
    <n v="92.612499999999997"/>
    <n v="3.875"/>
    <n v="23.9"/>
    <n v="92.612499999999969"/>
    <n v="3.875"/>
    <n v="23.899999999999991"/>
    <n v="370.45"/>
    <n v="15.5"/>
    <n v="23.9"/>
    <n v="43.2"/>
    <n v="2.52"/>
    <n v="5.04"/>
    <n v="1.99"/>
    <n v="2.15"/>
    <n v="2.88"/>
    <n v="3.04"/>
    <n v="4.0199999999999996"/>
    <n v="5"/>
    <n v="5.04"/>
    <n v="6.05"/>
    <n v="33.35"/>
    <n v="45.46"/>
    <n v="44.85"/>
    <n v="49.14"/>
  </r>
  <r>
    <x v="9"/>
    <s v="EOG"/>
    <x v="0"/>
    <n v="360.6"/>
    <n v="13.042999999999999"/>
    <n v="0"/>
    <n v="73.143000000000001"/>
    <n v="438.858"/>
    <n v="181.99999999999997"/>
    <n v="2.6558999999999999"/>
    <n v="0"/>
    <n v="32.989233333333331"/>
    <n v="197.93539999999996"/>
    <n v="106.13223333333333"/>
    <n v="636.79340000000002"/>
    <n v="0.68916857492555672"/>
    <n v="0.82167808265999487"/>
    <n v="0.17832191734000519"/>
    <n v="0"/>
    <n v="40.072000000000003"/>
    <n v="0"/>
    <n v="1078.3"/>
    <n v="1318.732"/>
    <m/>
    <n v="219.78866666666667"/>
    <m/>
    <m/>
    <m/>
    <n v="-63.2"/>
    <n v="1177.5"/>
    <n v="1.2"/>
    <n v="0"/>
    <n v="1115.5"/>
    <n v="27.933"/>
    <n v="49.417999999999999"/>
    <n v="3.6999999999999998E-2"/>
    <n v="0"/>
    <n v="77.388000000000005"/>
    <n v="0"/>
    <n v="0"/>
    <n v="0"/>
    <n v="0"/>
    <n v="0"/>
    <n v="1579.828"/>
    <n v="263.30466666666666"/>
    <n v="233.33699999999999"/>
    <n v="3.887"/>
    <n v="435.94400000000002"/>
    <n v="2336.2579999999998"/>
    <n v="3009.4259999999999"/>
    <m/>
    <m/>
    <m/>
    <m/>
    <m/>
    <s v="Costs and adds include oil. Sales excluded. Costs exclude asset retirement obligations and non-cash acquisition costs."/>
    <m/>
    <m/>
    <m/>
    <m/>
    <m/>
    <m/>
    <m/>
    <m/>
    <m/>
    <m/>
    <m/>
    <m/>
    <m/>
    <n v="0"/>
    <n v="0"/>
    <m/>
    <m/>
    <m/>
    <m/>
    <m/>
    <m/>
    <m/>
    <m/>
    <m/>
    <m/>
    <m/>
    <m/>
    <m/>
    <m/>
    <m/>
    <m/>
    <m/>
    <m/>
    <n v="4"/>
    <m/>
    <m/>
    <m/>
    <m/>
    <m/>
    <m/>
    <m/>
    <m/>
    <m/>
    <m/>
    <m/>
    <m/>
    <m/>
    <m/>
    <m/>
    <m/>
    <m/>
    <m/>
    <m/>
    <m/>
    <m/>
    <m/>
    <m/>
    <m/>
    <m/>
    <m/>
    <m/>
    <m/>
    <m/>
    <m/>
    <m/>
    <m/>
    <m/>
    <m/>
    <m/>
    <m/>
    <m/>
    <m/>
    <m/>
    <m/>
    <m/>
    <m/>
    <m/>
    <m/>
    <m/>
    <m/>
    <m/>
    <m/>
    <m/>
    <m/>
    <m/>
    <n v="72.34"/>
    <n v="6.97"/>
    <n v="12.91"/>
    <m/>
    <m/>
    <m/>
    <m/>
    <m/>
    <m/>
    <m/>
    <m/>
    <m/>
    <m/>
    <m/>
    <m/>
  </r>
  <r>
    <x v="9"/>
    <s v="EOG"/>
    <x v="1"/>
    <n v="436"/>
    <n v="14.487"/>
    <n v="5.484"/>
    <n v="92.637666666666661"/>
    <n v="555.82600000000002"/>
    <n v="167.5"/>
    <n v="2.1629999999999998"/>
    <n v="0.36099999999999999"/>
    <n v="30.440666666666669"/>
    <n v="182.64400000000001"/>
    <n v="123.07833333333333"/>
    <n v="738.47"/>
    <n v="0.7526724172952185"/>
    <n v="0.78441814524689379"/>
    <n v="0.15638347252557455"/>
    <n v="5.919838222753164E-2"/>
    <n v="46.238999999999997"/>
    <n v="0"/>
    <n v="1344.3"/>
    <n v="1621.7339999999999"/>
    <n v="303.00199999999995"/>
    <n v="270.28899999999999"/>
    <n v="50.500333333333316"/>
    <n v="0.22976768592860405"/>
    <m/>
    <n v="-110.3"/>
    <n v="1384.4"/>
    <n v="31"/>
    <n v="0"/>
    <n v="1305.1000000000001"/>
    <n v="-1.5920000000000001"/>
    <n v="67.876999999999995"/>
    <n v="6.0000000000000001E-3"/>
    <n v="0"/>
    <n v="66.290999999999997"/>
    <n v="0"/>
    <n v="0"/>
    <n v="0"/>
    <n v="0"/>
    <n v="0"/>
    <n v="1702.846"/>
    <n v="283.80766666666671"/>
    <n v="376.017"/>
    <n v="69.611999999999995"/>
    <n v="550.72500000000002"/>
    <n v="3298.627"/>
    <n v="4294.9809999999998"/>
    <m/>
    <m/>
    <m/>
    <m/>
    <m/>
    <s v="Costs and adds include oil. Sales excluded. Costs exclude asset retirement obligations and non-cash acquisition costs."/>
    <m/>
    <m/>
    <m/>
    <m/>
    <m/>
    <m/>
    <m/>
    <m/>
    <m/>
    <m/>
    <m/>
    <m/>
    <m/>
    <n v="0"/>
    <n v="0"/>
    <m/>
    <m/>
    <m/>
    <m/>
    <m/>
    <m/>
    <m/>
    <m/>
    <m/>
    <m/>
    <m/>
    <m/>
    <m/>
    <m/>
    <m/>
    <m/>
    <m/>
    <m/>
    <n v="4"/>
    <m/>
    <m/>
    <m/>
    <m/>
    <m/>
    <m/>
    <m/>
    <m/>
    <m/>
    <m/>
    <m/>
    <m/>
    <m/>
    <m/>
    <m/>
    <m/>
    <m/>
    <m/>
    <m/>
    <m/>
    <m/>
    <m/>
    <m/>
    <m/>
    <m/>
    <m/>
    <m/>
    <m/>
    <m/>
    <m/>
    <m/>
    <m/>
    <m/>
    <m/>
    <m/>
    <m/>
    <m/>
    <m/>
    <m/>
    <m/>
    <m/>
    <m/>
    <m/>
    <m/>
    <m/>
    <m/>
    <m/>
    <m/>
    <m/>
    <m/>
    <m/>
    <n v="99.67"/>
    <n v="8.86"/>
    <n v="15.2"/>
    <m/>
    <m/>
    <m/>
    <m/>
    <m/>
    <m/>
    <m/>
    <m/>
    <m/>
    <m/>
    <m/>
    <m/>
  </r>
  <r>
    <x v="9"/>
    <s v="EOG"/>
    <x v="2"/>
    <n v="422.3"/>
    <n v="17.494"/>
    <n v="8.2200000000000006"/>
    <n v="96.097333333333339"/>
    <n v="576.58400000000006"/>
    <n v="194.5"/>
    <n v="2.6390000000000002"/>
    <n v="0.39300000000000002"/>
    <n v="35.448666666666668"/>
    <n v="212.69200000000001"/>
    <n v="131.54599999999999"/>
    <n v="789.27600000000007"/>
    <n v="0.73052265620644741"/>
    <n v="0.73241713262941732"/>
    <n v="0.1820445936758564"/>
    <n v="8.5538273694726177E-2"/>
    <n v="90.619"/>
    <n v="0"/>
    <n v="3020"/>
    <n v="3563.7139999999999"/>
    <n v="1941.98"/>
    <n v="593.95233333333329"/>
    <n v="323.6633333333333"/>
    <n v="1.1974713485688775"/>
    <m/>
    <n v="-378"/>
    <n v="1925"/>
    <n v="450.8"/>
    <n v="0"/>
    <n v="1997.8"/>
    <n v="4.4020000000000001"/>
    <n v="58.258000000000003"/>
    <n v="15.666"/>
    <n v="0"/>
    <n v="78.326000000000008"/>
    <n v="6.109"/>
    <n v="18.545999999999999"/>
    <n v="8.9999999999999993E-3"/>
    <n v="0"/>
    <n v="24.664000000000001"/>
    <n v="2615.7399999999998"/>
    <n v="435.95666666666665"/>
    <n v="648.33100000000002"/>
    <n v="111.36200000000002"/>
    <n v="473.48899999999998"/>
    <n v="1838.8589999999999"/>
    <n v="3072.0410000000002"/>
    <n v="10376.448"/>
    <n v="983.06899999999996"/>
    <n v="5898.4139999999998"/>
    <n v="10.555157369421678"/>
    <n v="1.7591928949036133"/>
    <s v="Costs and adds include oil. Sales excluded. Costs exclude asset retirement obligations and non-cash acquisition costs."/>
    <n v="827"/>
    <n v="248.274"/>
    <n v="0"/>
    <n v="161.97222152029346"/>
    <n v="51.683999999999997"/>
    <n v="0"/>
    <n v="33.71828019468348"/>
    <m/>
    <n v="0"/>
    <n v="0"/>
    <n v="155.82"/>
    <n v="0"/>
    <n v="101.65587841373694"/>
    <n v="3399.473"/>
    <n v="3806.5889999999999"/>
    <n v="0.65239300740429307"/>
    <n v="1124.3463801287139"/>
    <n v="11.700078879698852"/>
    <n v="1.9500131466164754"/>
    <s v="Includes lease and well costs, transportation costs, gathering and processing costs.; Non-income tax = alternative minimum tax paid; Prodction taxes included in LOE"/>
    <n v="4196.3873801287136"/>
    <n v="419.63873801287139"/>
    <n v="0.13659932859387988"/>
    <n v="4.3668093947754851"/>
    <n v="0.72780156579591415"/>
    <n v="31.968015068055998"/>
    <n v="5.3280025113426666"/>
    <n v="22.255236249120529"/>
    <n v="26.622045643896016"/>
    <n v="54.223251317176526"/>
    <n v="3.7092060415200887"/>
    <n v="4.4370076073160032"/>
    <n v="9.0372085528627544"/>
    <n v="4"/>
    <n v="2.2255236249120527"/>
    <n v="213.86688562438184"/>
    <n v="6.9617197695076932E-2"/>
    <n v="118.459"/>
    <m/>
    <m/>
    <m/>
    <m/>
    <m/>
    <m/>
    <m/>
    <m/>
    <m/>
    <m/>
    <m/>
    <m/>
    <m/>
    <m/>
    <m/>
    <m/>
    <m/>
    <m/>
    <m/>
    <m/>
    <m/>
    <m/>
    <m/>
    <m/>
    <m/>
    <m/>
    <m/>
    <m/>
    <m/>
    <m/>
    <m/>
    <m/>
    <m/>
    <m/>
    <m/>
    <m/>
    <m/>
    <m/>
    <m/>
    <m/>
    <m/>
    <m/>
    <m/>
    <m/>
    <m/>
    <m/>
    <m/>
    <n v="61.95"/>
    <n v="3.94"/>
    <n v="8.99"/>
    <m/>
    <m/>
    <m/>
    <m/>
    <m/>
    <m/>
    <m/>
    <m/>
    <m/>
    <m/>
    <m/>
    <m/>
  </r>
  <r>
    <x v="9"/>
    <s v="EOG"/>
    <x v="3"/>
    <n v="422.6"/>
    <n v="23.091999999999999"/>
    <n v="10.763999999999999"/>
    <n v="104.28933333333333"/>
    <n v="625.7360000000001"/>
    <n v="210.79999999999998"/>
    <n v="4.1919999999999993"/>
    <n v="0.316"/>
    <n v="39.641333333333336"/>
    <n v="237.84799999999996"/>
    <n v="143.93066666666667"/>
    <n v="863.58400000000006"/>
    <n v="0.72458035350353878"/>
    <n v="0.67536469054041948"/>
    <n v="0.22142245291944207"/>
    <n v="0.10321285654013833"/>
    <n v="252.583"/>
    <n v="0"/>
    <n v="2971.7"/>
    <n v="4487.1980000000003"/>
    <n v="923.48400000000038"/>
    <n v="747.86633333333327"/>
    <n v="153.91399999999999"/>
    <n v="0.25913527292032973"/>
    <m/>
    <n v="-222.7"/>
    <n v="821.3"/>
    <n v="0"/>
    <n v="0"/>
    <n v="598.59999999999991"/>
    <n v="-8.3130000000000006"/>
    <n v="199.47900000000001"/>
    <n v="1.2999999999999999E-2"/>
    <n v="0"/>
    <n v="191.17900000000003"/>
    <n v="27.49"/>
    <n v="42.220999999999997"/>
    <n v="0"/>
    <n v="0"/>
    <n v="69.710999999999999"/>
    <n v="2163.94"/>
    <n v="360.65666666666669"/>
    <n v="403.50900000000001"/>
    <n v="0"/>
    <n v="454.37899999999996"/>
    <n v="3821.4029999999998"/>
    <n v="4679.2909999999993"/>
    <n v="12046.312999999998"/>
    <n v="1080.421"/>
    <n v="6482.5259999999998"/>
    <n v="11.14964722085187"/>
    <n v="1.8582745368086451"/>
    <s v="Costs and adds include oil. Sales excluded. Costs exclude asset retirement obligations and non-cash acquisition costs."/>
    <n v="1136"/>
    <n v="280"/>
    <n v="0"/>
    <n v="171.01209696661695"/>
    <n v="233.46199999999999"/>
    <n v="0"/>
    <n v="142.58866493578688"/>
    <m/>
    <n v="0"/>
    <n v="0"/>
    <n v="205.886"/>
    <n v="0"/>
    <n v="125.74641641453177"/>
    <n v="4881.2150000000001"/>
    <n v="5790.8950000000004"/>
    <n v="0.61075748916648909"/>
    <n v="1575.3471783169357"/>
    <n v="15.105544622495133"/>
    <n v="2.5175907704158549"/>
    <s v="Includes lease and well costs, transportation costs, gathering and processing costs.; Non-income tax = alternative minimum tax paid; Prodction taxes included in LOE"/>
    <n v="6254.6381783169345"/>
    <n v="625.46381783169352"/>
    <n v="0.13366636480434613"/>
    <n v="5.9973901245735597"/>
    <n v="0.99956502076225984"/>
    <n v="44.868356623240466"/>
    <n v="7.4780594372067428"/>
    <n v="26.255191843347003"/>
    <n v="32.252581967920563"/>
    <n v="71.123548466587465"/>
    <n v="4.3758653072245002"/>
    <n v="5.3754303279867601"/>
    <n v="11.853924744431243"/>
    <n v="4"/>
    <n v="2.6255191843347001"/>
    <n v="273.81364538814296"/>
    <n v="5.8516054117630854E-2"/>
    <n v="99.801000000000002"/>
    <m/>
    <m/>
    <m/>
    <m/>
    <m/>
    <m/>
    <m/>
    <m/>
    <m/>
    <m/>
    <m/>
    <m/>
    <m/>
    <m/>
    <m/>
    <m/>
    <m/>
    <m/>
    <m/>
    <m/>
    <m/>
    <m/>
    <m/>
    <m/>
    <m/>
    <m/>
    <m/>
    <m/>
    <m/>
    <m/>
    <m/>
    <m/>
    <m/>
    <m/>
    <m/>
    <m/>
    <m/>
    <m/>
    <m/>
    <m/>
    <m/>
    <m/>
    <m/>
    <m/>
    <m/>
    <m/>
    <m/>
    <n v="79.48"/>
    <n v="4.37"/>
    <n v="11.83"/>
    <m/>
    <m/>
    <m/>
    <m/>
    <m/>
    <m/>
    <m/>
    <m/>
    <m/>
    <m/>
    <m/>
    <m/>
  </r>
  <r>
    <x v="9"/>
    <s v="EOG"/>
    <x v="4"/>
    <n v="415.7"/>
    <n v="37.232999999999997"/>
    <n v="15.144"/>
    <n v="121.66033333333334"/>
    <n v="729.96199999999999"/>
    <n v="180.1"/>
    <n v="4.1490000000000009"/>
    <n v="0.316"/>
    <n v="34.481666666666669"/>
    <n v="206.89"/>
    <n v="156.142"/>
    <n v="936.85199999999998"/>
    <n v="0.77916469196842186"/>
    <n v="0.56948169904734769"/>
    <n v="0.30604058841419141"/>
    <n v="0.12447771253846091"/>
    <n v="383.73899999999998"/>
    <n v="0"/>
    <n v="2810.8"/>
    <n v="5113.2340000000004"/>
    <n v="626.03600000000006"/>
    <n v="852.20566666666673"/>
    <n v="104.33933333333346"/>
    <n v="0.13951601868248309"/>
    <m/>
    <n v="-344"/>
    <n v="634"/>
    <n v="3"/>
    <n v="0"/>
    <n v="293"/>
    <n v="-21.187999999999999"/>
    <n v="202.52199999999999"/>
    <n v="8.9999999999999993E-3"/>
    <n v="0"/>
    <n v="181.34299999999999"/>
    <n v="35.999000000000002"/>
    <n v="65.287999999999997"/>
    <n v="1.7000000000000001E-2"/>
    <n v="0"/>
    <n v="101.304"/>
    <n v="1988.8820000000001"/>
    <n v="331.48033333333331"/>
    <n v="295.15999999999997"/>
    <n v="4.2189999999999994"/>
    <n v="311.36900000000003"/>
    <n v="5358.3789999999999"/>
    <n v="5969.1270000000004"/>
    <n v="13720.458999999999"/>
    <n v="1128.0936666666666"/>
    <n v="6768.5619999999999"/>
    <n v="12.162517533266298"/>
    <n v="2.0270862555443827"/>
    <s v="Costs and adds include oil. Sales excluded. Costs exclude asset retirement obligations and non-cash acquisition costs."/>
    <n v="1518"/>
    <n v="304"/>
    <n v="0"/>
    <n v="181.02005336829305"/>
    <n v="260.22399999999999"/>
    <n v="0"/>
    <n v="154.95316568325885"/>
    <m/>
    <n v="0"/>
    <n v="0"/>
    <n v="268.10399999999998"/>
    <n v="0"/>
    <n v="159.6453960139896"/>
    <n v="6858.1580000000004"/>
    <n v="8973.9500000000007"/>
    <n v="0.59546070186938505"/>
    <n v="2013.6186150655415"/>
    <n v="16.551151553633268"/>
    <n v="2.7585252589388785"/>
    <s v="Includes lease and well costs, transportation costs, gathering and processing costs.; Non-income tax = alternative minimum tax paid; Prodction taxes included in LOE"/>
    <n v="7982.7456150655416"/>
    <n v="798.27456150655416"/>
    <n v="0.13373388797165048"/>
    <n v="6.5615023371618308"/>
    <n v="1.0935837228603054"/>
    <n v="49.063871817985046"/>
    <n v="8.1773119696641743"/>
    <n v="28.713669086899564"/>
    <n v="35.275171424061398"/>
    <n v="77.777540904884603"/>
    <n v="4.7856115144832607"/>
    <n v="5.8791952373435663"/>
    <n v="12.962923484147435"/>
    <n v="4"/>
    <n v="2.8713669086899563"/>
    <n v="349.331455233523"/>
    <n v="5.8523039505362001E-2"/>
    <n v="61.110999999999997"/>
    <m/>
    <m/>
    <m/>
    <m/>
    <m/>
    <m/>
    <m/>
    <m/>
    <m/>
    <m/>
    <m/>
    <m/>
    <m/>
    <m/>
    <m/>
    <m/>
    <m/>
    <m/>
    <m/>
    <m/>
    <m/>
    <m/>
    <m/>
    <m/>
    <m/>
    <m/>
    <m/>
    <m/>
    <m/>
    <m/>
    <m/>
    <m/>
    <m/>
    <m/>
    <m/>
    <m/>
    <m/>
    <m/>
    <m/>
    <m/>
    <m/>
    <m/>
    <m/>
    <m/>
    <m/>
    <m/>
    <m/>
    <n v="94.88"/>
    <n v="4"/>
    <n v="15.12"/>
    <m/>
    <m/>
    <m/>
    <m/>
    <m/>
    <m/>
    <m/>
    <m/>
    <m/>
    <m/>
    <m/>
    <m/>
  </r>
  <r>
    <x v="9"/>
    <s v="EOG"/>
    <x v="5"/>
    <n v="380.2"/>
    <n v="54.631999999999998"/>
    <n v="20.181000000000001"/>
    <n v="138.17966666666666"/>
    <n v="829.07799999999997"/>
    <n v="176.4"/>
    <n v="3.1629999999999998"/>
    <n v="0.309"/>
    <n v="32.872"/>
    <n v="197.23200000000003"/>
    <n v="171.05166666666668"/>
    <n v="1026.31"/>
    <n v="0.80782414670031477"/>
    <n v="0.45858170160105566"/>
    <n v="0.39536931386431673"/>
    <n v="0.14604898453462764"/>
    <n v="389.86200000000002"/>
    <n v="156.92400000000001"/>
    <n v="1648.5"/>
    <n v="4929.2160000000003"/>
    <n v="-184.01800000000003"/>
    <n v="821.53600000000006"/>
    <n v="-30.669666666666672"/>
    <n v="-3.5988573963170865E-2"/>
    <m/>
    <n v="-1736"/>
    <n v="477.8"/>
    <n v="14.8"/>
    <n v="0"/>
    <n v="-1243.4000000000001"/>
    <n v="4.1050000000000004"/>
    <n v="241.17099999999999"/>
    <n v="1.01"/>
    <n v="0"/>
    <n v="246.28599999999997"/>
    <n v="47.292999999999999"/>
    <n v="71.396000000000001"/>
    <n v="0.61199999999999999"/>
    <n v="0"/>
    <n v="119.30099999999999"/>
    <n v="950.12199999999973"/>
    <n v="158.35366666666661"/>
    <n v="471.34500000000003"/>
    <n v="0.73899999999999999"/>
    <n v="333.53399999999999"/>
    <n v="5577.3779999999997"/>
    <n v="6382.9959999999992"/>
    <n v="17031.413999999997"/>
    <n v="850.49066666666658"/>
    <n v="5102.9439999999995"/>
    <n v="20.025397887964278"/>
    <n v="3.3375663146607133"/>
    <s v="Costs and adds include oil. Sales excluded. Costs exclude asset retirement obligations and non-cash acquisition costs."/>
    <n v="1856.18"/>
    <n v="331.54500000000002"/>
    <n v="0"/>
    <n v="192.8067660775759"/>
    <n v="360.00599999999997"/>
    <n v="0"/>
    <n v="209.3579834668711"/>
    <m/>
    <n v="0"/>
    <n v="0"/>
    <n v="263.25400000000002"/>
    <n v="0"/>
    <n v="153.09280006329809"/>
    <n v="7958.3759999999993"/>
    <n v="11055.07"/>
    <n v="0.5815402617369464"/>
    <n v="2411.437549607745"/>
    <n v="17.451464515578113"/>
    <n v="2.9085774192630187"/>
    <s v="Includes lease and well costs, transportation costs, gathering and processing costs.; Non-income tax = alternative minimum tax paid; Prodction taxes included in LOE"/>
    <n v="8794.4335496077438"/>
    <n v="879.4433549607744"/>
    <n v="0.13777908602179517"/>
    <n v="6.3644917966278767"/>
    <n v="1.0607486327713127"/>
    <n v="46.193453450700652"/>
    <n v="7.6989089084501092"/>
    <n v="37.476862403542391"/>
    <n v="43.841354200170265"/>
    <n v="83.670315854243043"/>
    <n v="6.2461437339237325"/>
    <n v="7.3068923666950454"/>
    <n v="13.945052642373842"/>
    <n v="4"/>
    <n v="3.747686240354239"/>
    <n v="517.85403546340194"/>
    <n v="8.1130245963400571E-2"/>
    <n v="49.116"/>
    <m/>
    <m/>
    <n v="238.39245"/>
    <n v="96.907499999999999"/>
    <n v="2.46"/>
    <n v="204.062375"/>
    <n v="97.637500000000003"/>
    <n v="2.09"/>
    <n v="243.402075"/>
    <n v="93.257500000000007"/>
    <n v="2.61"/>
    <n v="265.60609999999997"/>
    <n v="89.607500000000059"/>
    <n v="2.9641056831180403"/>
    <n v="951.46299999999997"/>
    <n v="377.41"/>
    <n v="2.5099999999999998"/>
    <n v="1217.0112875000002"/>
    <n v="11.953750000000001"/>
    <n v="101.81"/>
    <n v="1315.6333749999999"/>
    <n v="13.733124999999999"/>
    <n v="95.8"/>
    <n v="1437.1265449999999"/>
    <n v="14.718624999999999"/>
    <n v="97.64"/>
    <n v="1391.3977024999992"/>
    <n v="14.088999999999997"/>
    <n v="98.757733160621726"/>
    <n v="5361.1689099999994"/>
    <n v="54.494499999999995"/>
    <n v="98.38"/>
    <n v="195.02378875000002"/>
    <n v="4.5898750000000001"/>
    <n v="42.49"/>
    <n v="167.10466500000001"/>
    <n v="4.9822500000000005"/>
    <n v="33.54"/>
    <n v="164.08529374999998"/>
    <n v="5.3016249999999996"/>
    <n v="30.95"/>
    <n v="185.9344674999999"/>
    <n v="5.2377499999999992"/>
    <n v="35.498919860627161"/>
    <n v="712.14821499999994"/>
    <n v="20.111499999999999"/>
    <n v="35.409999999999997"/>
    <n v="94.05"/>
    <n v="2.75"/>
    <n v="10.98"/>
    <n v="2.41"/>
    <n v="2.2799999999999998"/>
    <n v="2.88"/>
    <n v="3.4"/>
    <n v="13.14"/>
    <n v="10.75"/>
    <n v="9.9600000000000009"/>
    <n v="10.08"/>
    <n v="102.98"/>
    <n v="93.29"/>
    <n v="92.17"/>
    <n v="88.01"/>
  </r>
  <r>
    <x v="9"/>
    <s v="EOG"/>
    <x v="6"/>
    <n v="342.3"/>
    <n v="77.430999999999997"/>
    <n v="23.478999999999999"/>
    <n v="157.95999999999998"/>
    <n v="947.76"/>
    <n v="160.1"/>
    <n v="3.03"/>
    <n v="0.315"/>
    <n v="30.028333333333336"/>
    <n v="180.17"/>
    <n v="187.98833333333332"/>
    <n v="1127.93"/>
    <n v="0.84026491005647508"/>
    <n v="0.36116738414788557"/>
    <n v="0.49019371992909599"/>
    <n v="0.14863889592301849"/>
    <n v="497.53199999999998"/>
    <n v="176.03800000000001"/>
    <n v="1801.4"/>
    <n v="5842.82"/>
    <n v="913.60399999999936"/>
    <n v="973.80333333333328"/>
    <n v="152.26733333333323"/>
    <n v="0.18534468767446979"/>
    <m/>
    <n v="264"/>
    <n v="504.7"/>
    <n v="5.7"/>
    <n v="0"/>
    <n v="774.40000000000009"/>
    <n v="57.667999999999999"/>
    <n v="230.023"/>
    <n v="1.097"/>
    <n v="0"/>
    <n v="288.78799999999995"/>
    <n v="12.157"/>
    <n v="69.186999999999998"/>
    <n v="1.202"/>
    <n v="0"/>
    <n v="82.545999999999992"/>
    <n v="3002.4039999999995"/>
    <n v="500.40066666666661"/>
    <n v="411.55599999999998"/>
    <n v="120.22"/>
    <n v="273.78799999999995"/>
    <n v="5489.26"/>
    <n v="6294.8240000000005"/>
    <n v="18646.947"/>
    <n v="990.2346666666665"/>
    <n v="5941.4079999999994"/>
    <n v="18.83083639433616"/>
    <n v="3.13847273238936"/>
    <s v="Costs and adds include oil. Sales excluded. Costs exclude asset retirement obligations and non-cash acquisition costs."/>
    <n v="2336.3580000000002"/>
    <n v="348.31200000000001"/>
    <n v="0"/>
    <n v="218.61347066438097"/>
    <n v="294.73899999999998"/>
    <n v="0"/>
    <n v="184.98907798223712"/>
    <m/>
    <n v="0"/>
    <n v="0"/>
    <n v="284.59899999999999"/>
    <n v="0"/>
    <n v="178.62483961968624"/>
    <n v="10755.646000000001"/>
    <n v="14399.395"/>
    <n v="0.62763691938371624"/>
    <n v="2918.5853882663046"/>
    <n v="18.476737074362529"/>
    <n v="3.0794561790604211"/>
    <s v="Includes lease and well costs, transportation costs, gathering and processing costs.; Non-income tax = alternative minimum tax paid; Prodction taxes included in LOE"/>
    <n v="9213.4093882663055"/>
    <n v="921.34093882663058"/>
    <n v="0.14636484496256455"/>
    <n v="5.8327484098925719"/>
    <n v="0.97212473498209528"/>
    <n v="39.850747024563191"/>
    <n v="6.6417911707605306"/>
    <n v="37.307573468698692"/>
    <n v="43.140321878591266"/>
    <n v="77.158320493261883"/>
    <n v="6.2179289114497811"/>
    <n v="7.1900536464318767"/>
    <n v="12.859720082210313"/>
    <n v="4"/>
    <n v="3.7307573468698694"/>
    <n v="589.3104305115645"/>
    <n v="9.3618253744912394E-2"/>
    <n v="9.2110000000000003"/>
    <m/>
    <m/>
    <n v="262.50070000000005"/>
    <n v="85.227500000000006"/>
    <n v="3.08"/>
    <n v="315.85640000000001"/>
    <n v="84.68"/>
    <n v="3.73"/>
    <n v="261.68766249999999"/>
    <n v="82.033749999999998"/>
    <n v="3.19"/>
    <n v="260.76323749999995"/>
    <n v="79.478749999999991"/>
    <n v="3.2809176981268573"/>
    <n v="1100.808"/>
    <n v="331.42"/>
    <n v="3.32"/>
    <n v="1733.8805787499998"/>
    <n v="16.269874999999999"/>
    <n v="106.57"/>
    <n v="1954.5973562500001"/>
    <n v="18.843125000000001"/>
    <n v="103.73"/>
    <n v="2254.6283600000002"/>
    <n v="20.7685"/>
    <n v="108.56"/>
    <n v="2093.5005699999992"/>
    <n v="21.534999999999997"/>
    <n v="97.213864406779635"/>
    <n v="8036.6068649999997"/>
    <n v="77.416499999999999"/>
    <n v="103.81"/>
    <n v="169.13351749999998"/>
    <n v="5.3472499999999998"/>
    <n v="31.63"/>
    <n v="175.48314875000003"/>
    <n v="5.8126250000000006"/>
    <n v="30.19"/>
    <n v="203.81143749999998"/>
    <n v="6.2232499999999993"/>
    <n v="32.75"/>
    <n v="213.39186624999996"/>
    <n v="6.0863749999999994"/>
    <n v="35.060584707646171"/>
    <n v="761.81997000000001"/>
    <n v="23.4695"/>
    <n v="32.46"/>
    <n v="97.98"/>
    <n v="3.73"/>
    <n v="9.94"/>
    <n v="3.49"/>
    <n v="4.01"/>
    <n v="3.56"/>
    <n v="3.85"/>
    <n v="9.77"/>
    <n v="9.39"/>
    <n v="10.01"/>
    <n v="10.53"/>
    <n v="94.33"/>
    <n v="94.05"/>
    <n v="105.83"/>
    <n v="97.44"/>
  </r>
  <r>
    <x v="9"/>
    <s v="EOG"/>
    <x v="7"/>
    <n v="348.4"/>
    <n v="102.946"/>
    <n v="29.061"/>
    <n v="190.07366666666667"/>
    <n v="1140.442"/>
    <n v="157.90000000000003"/>
    <n v="2.5019999999999953"/>
    <n v="0.23599999999999999"/>
    <n v="29.05466666666667"/>
    <n v="174.328"/>
    <n v="219.12833333333333"/>
    <n v="1314.77"/>
    <n v="0.86740798770887684"/>
    <n v="0.30549558855250858"/>
    <n v="0.5416110595716398"/>
    <n v="0.15289335187585165"/>
    <n v="635.98800000000006"/>
    <n v="202.31899999999999"/>
    <n v="1802.7"/>
    <n v="6832.5420000000004"/>
    <n v="989.72200000000066"/>
    <n v="1138.7570000000001"/>
    <n v="164.95366666666678"/>
    <n v="0.16939115016379089"/>
    <m/>
    <n v="252.2"/>
    <n v="17.100000000000001"/>
    <n v="638.29999999999995"/>
    <n v="0"/>
    <n v="907.59999999999991"/>
    <n v="28.300999999999998"/>
    <n v="319.54000000000002"/>
    <n v="9.7050000000000001"/>
    <n v="0"/>
    <n v="357.54599999999999"/>
    <n v="27.45"/>
    <n v="91.683000000000007"/>
    <n v="1.8120000000000001"/>
    <n v="0"/>
    <n v="120.94500000000001"/>
    <n v="3778.5459999999998"/>
    <n v="629.75766666666664"/>
    <n v="365.91500000000002"/>
    <n v="138.77199999999999"/>
    <n v="332.70299999999997"/>
    <n v="6489.192"/>
    <n v="7326.5820000000003"/>
    <n v="20004.402000000002"/>
    <n v="1288.5119999999997"/>
    <n v="7731.0719999999992"/>
    <n v="15.525196505736854"/>
    <n v="2.5875327509561421"/>
    <m/>
    <n v="2897.596"/>
    <n v="402.01"/>
    <n v="0"/>
    <n v="263.90844900736369"/>
    <n v="342.74099999999999"/>
    <n v="0"/>
    <n v="224.99998935656535"/>
    <m/>
    <n v="0"/>
    <n v="0"/>
    <n v="258.62799999999999"/>
    <n v="0"/>
    <n v="169.78213066808402"/>
    <n v="12592.914999999999"/>
    <n v="16639.231"/>
    <n v="0.65647234896486084"/>
    <n v="3556.2865690320132"/>
    <n v="18.710043486816584"/>
    <n v="3.1183405811360974"/>
    <m/>
    <n v="10882.868569032013"/>
    <n v="1088.2868569032014"/>
    <n v="0.1485395040829682"/>
    <n v="5.7256056348496536"/>
    <n v="0.95426760580827552"/>
    <n v="38.546012861679948"/>
    <n v="6.4243354769466574"/>
    <n v="34.235239992553439"/>
    <n v="39.960845627403089"/>
    <n v="72.781252854233387"/>
    <n v="5.7058733320922395"/>
    <n v="6.6601409379005148"/>
    <n v="12.130208809038898"/>
    <n v="4"/>
    <n v="3.4235239992553437"/>
    <n v="650.72175945979382"/>
    <n v="8.8816553129384718E-2"/>
    <n v="17.253"/>
    <m/>
    <m/>
    <n v="404.62439999999998"/>
    <n v="81.577500000000001"/>
    <n v="4.96"/>
    <n v="349.44187499999998"/>
    <n v="84.40625"/>
    <n v="4.1399999999999997"/>
    <n v="298.81455"/>
    <n v="85.866249999999994"/>
    <n v="3.48"/>
    <n v="266.81317500000029"/>
    <n v="83.950000000000031"/>
    <n v="3.1782391304347848"/>
    <n v="1319.6940000000002"/>
    <n v="335.8"/>
    <n v="3.93"/>
    <n v="2368.8224425000003"/>
    <n v="23.551625000000001"/>
    <n v="100.58"/>
    <n v="2572.377285"/>
    <n v="25.05725"/>
    <n v="102.66"/>
    <n v="2604.0154849999999"/>
    <n v="26.7545"/>
    <n v="97.33"/>
    <n v="1999.4836874999987"/>
    <n v="27.566625000000002"/>
    <n v="72.532770605759637"/>
    <n v="9544.6988999999994"/>
    <n v="102.92999999999999"/>
    <n v="92.73"/>
    <n v="246.14505000000003"/>
    <n v="6.4605000000000006"/>
    <n v="38.1"/>
    <n v="246.05334375000001"/>
    <n v="7.163125"/>
    <n v="34.35"/>
    <n v="255.31184249999998"/>
    <n v="7.82925"/>
    <n v="32.61"/>
    <n v="178.73128374999987"/>
    <n v="7.6376249999999954"/>
    <n v="23.401421744324967"/>
    <n v="926.24151999999992"/>
    <n v="29.090499999999999"/>
    <n v="31.84"/>
    <n v="93.17"/>
    <n v="4.37"/>
    <n v="9.56"/>
    <n v="5.21"/>
    <n v="4.6100000000000003"/>
    <n v="3.96"/>
    <n v="3.8"/>
    <n v="11.19"/>
    <n v="10.15"/>
    <n v="9.83"/>
    <n v="7.41"/>
    <n v="98.68"/>
    <n v="103.35"/>
    <n v="97.87"/>
    <n v="73.209999999999994"/>
  </r>
  <r>
    <x v="9"/>
    <s v="EOG"/>
    <x v="8"/>
    <n v="337.3"/>
    <n v="103.4"/>
    <n v="28.079000000000001"/>
    <n v="187.69566666666668"/>
    <n v="1126.174"/>
    <n v="138.39999999999998"/>
    <n v="0.39699999999999136"/>
    <n v="1.9E-2"/>
    <n v="23.482666666666653"/>
    <n v="140.89599999999993"/>
    <n v="211.17833333333334"/>
    <n v="1267.07"/>
    <n v="0.8888017236616762"/>
    <n v="0.29950966724502609"/>
    <n v="0.55089178048862786"/>
    <n v="0.14959855226634605"/>
    <n v="643.79"/>
    <n v="176.977"/>
    <n v="1278.5999999999999"/>
    <n v="6203.2019999999993"/>
    <n v="-629.34000000000106"/>
    <n v="1033.867"/>
    <n v="-104.8900000000001"/>
    <n v="-9.2109203280418994E-2"/>
    <m/>
    <n v="-1453.1"/>
    <n v="306.3"/>
    <n v="72.3"/>
    <n v="0"/>
    <n v="-1074.5"/>
    <n v="-114.92400000000001"/>
    <n v="141.31"/>
    <n v="35.921999999999997"/>
    <n v="0"/>
    <n v="62.307999999999993"/>
    <n v="-113.29"/>
    <n v="49.146999999999998"/>
    <n v="8.2509999999999994"/>
    <n v="0"/>
    <n v="-55.892000000000003"/>
    <n v="-1036.0040000000001"/>
    <n v="-172.66733333333335"/>
    <n v="133.80099999999999"/>
    <n v="480.61700000000002"/>
    <n v="206.81399999999999"/>
    <n v="3815.8159999999998"/>
    <n v="4637.0479999999998"/>
    <n v="18258.454000000002"/>
    <n v="957.49099999999999"/>
    <n v="5744.945999999999"/>
    <n v="19.069060701353852"/>
    <n v="3.178176783558976"/>
    <m/>
    <n v="2324.6170000000002"/>
    <n v="366.59399999999999"/>
    <n v="0"/>
    <n v="241.02066279278657"/>
    <n v="41.107999999999997"/>
    <n v="0"/>
    <n v="27.026840063083057"/>
    <m/>
    <n v="0"/>
    <n v="0"/>
    <n v="279.23399999999998"/>
    <n v="0"/>
    <n v="183.58501163216246"/>
    <n v="6403.2579999999998"/>
    <n v="8656.393"/>
    <n v="0.65745937683864597"/>
    <n v="2776.2495144880322"/>
    <n v="14.791228608481632"/>
    <n v="2.4652047680802722"/>
    <m/>
    <n v="7413.297514488032"/>
    <n v="741.32975144880322"/>
    <n v="0.15987105405180263"/>
    <n v="3.9496370087507073"/>
    <n v="0.65827283479178456"/>
    <n v="24.705141479025439"/>
    <n v="4.1175235798375738"/>
    <n v="33.86028930983548"/>
    <n v="37.809926318586186"/>
    <n v="58.565430788860922"/>
    <n v="5.6433815516392478"/>
    <n v="6.3016543864310322"/>
    <n v="9.7609051314768216"/>
    <n v="4"/>
    <n v="3.3860289309835481"/>
    <n v="635.54295755357771"/>
    <n v="0.13705766201979747"/>
    <n v="8.9550000000000001"/>
    <m/>
    <m/>
    <n v="187.45943750000001"/>
    <n v="82.581249999999997"/>
    <n v="2.27"/>
    <n v="171.55091250000001"/>
    <n v="81.303750000000008"/>
    <n v="2.11"/>
    <n v="165.48735000000002"/>
    <n v="81.121250000000003"/>
    <n v="2.04"/>
    <n v="112.58059999999998"/>
    <n v="78.383749999999964"/>
    <n v="1.4362747380675207"/>
    <n v="637.07830000000001"/>
    <n v="323.39"/>
    <n v="1.97"/>
    <n v="1272.7190475"/>
    <n v="27.247249999999998"/>
    <n v="46.71"/>
    <n v="1450.0040187500001"/>
    <n v="25.230625000000003"/>
    <n v="57.47"/>
    <n v="1166.3866087500001"/>
    <n v="25.394874999999999"/>
    <n v="45.93"/>
    <n v="1027.7742999999998"/>
    <n v="25.531749999999999"/>
    <n v="40.254753395282336"/>
    <n v="4916.8839749999997"/>
    <n v="103.4045"/>
    <n v="47.55"/>
    <n v="113.710275"/>
    <n v="7.0627499999999994"/>
    <n v="16.100000000000001"/>
    <n v="104.15001250000002"/>
    <n v="6.697750000000001"/>
    <n v="15.55"/>
    <n v="93.944156250000006"/>
    <n v="7.0901250000000005"/>
    <n v="13.25"/>
    <n v="95.188806249999999"/>
    <n v="7.2178749999999994"/>
    <n v="13.187926675094818"/>
    <n v="406.99324999999999"/>
    <n v="28.0685"/>
    <n v="14.5"/>
    <n v="48.66"/>
    <n v="2.62"/>
    <n v="4.97"/>
    <n v="2.9"/>
    <n v="2.75"/>
    <n v="2.76"/>
    <n v="2.12"/>
    <n v="5.43"/>
    <n v="5.2"/>
    <n v="4.68"/>
    <n v="4.5999999999999996"/>
    <n v="48.49"/>
    <n v="57.85"/>
    <n v="46.64"/>
    <n v="41.94"/>
  </r>
  <r>
    <x v="9"/>
    <s v="EOG"/>
    <x v="9"/>
    <n v="308.60000000000002"/>
    <n v="101.854"/>
    <n v="29.878"/>
    <n v="183.16533333333331"/>
    <n v="1098.992"/>
    <n v="134"/>
    <n v="1.5570000000000022"/>
    <n v="0"/>
    <n v="23.890333333333334"/>
    <n v="143.34200000000001"/>
    <n v="207.05566666666664"/>
    <n v="1242.3340000000001"/>
    <n v="0.88461879011602351"/>
    <n v="0.28080277199470061"/>
    <n v="0.55607684132368573"/>
    <n v="0.16312038668161372"/>
    <n v="660.96"/>
    <n v="186.14699999999999"/>
    <n v="1216.8"/>
    <n v="6299.442"/>
    <n v="96.240000000000691"/>
    <n v="1049.9069999999999"/>
    <n v="16.039999999999964"/>
    <n v="1.5514568121431446E-2"/>
    <m/>
    <n v="298.39999999999998"/>
    <n v="202.1"/>
    <n v="91.5"/>
    <n v="0"/>
    <n v="592"/>
    <n v="42.04"/>
    <n v="123.441"/>
    <n v="25.795000000000002"/>
    <n v="0"/>
    <n v="191.27600000000001"/>
    <n v="53.771000000000001"/>
    <n v="41.862000000000002"/>
    <n v="1.284"/>
    <n v="0"/>
    <n v="96.917000000000016"/>
    <n v="2321.1579999999999"/>
    <n v="386.85966666666673"/>
    <n v="3216.598"/>
    <n v="749.02300000000002"/>
    <n v="156.29499999999999"/>
    <n v="2294.7130000000002"/>
    <n v="6416.6290000000008"/>
    <n v="18380.259000000002"/>
    <n v="843.95"/>
    <n v="5063.6999999999989"/>
    <n v="21.778848273001955"/>
    <n v="3.6298080455003272"/>
    <m/>
    <n v="1917.6179999999999"/>
    <n v="394.815"/>
    <n v="0"/>
    <n v="257.24188196492253"/>
    <n v="-39.238999999999997"/>
    <n v="0"/>
    <n v="-25.566187217865568"/>
    <m/>
    <n v="0"/>
    <n v="0"/>
    <n v="313.34100000000001"/>
    <n v="0"/>
    <n v="204.15746244892114"/>
    <n v="5496.7430000000004"/>
    <n v="7463.0020000000004"/>
    <n v="0.65155042732652646"/>
    <n v="2353.4511571959779"/>
    <n v="12.848780467169798"/>
    <n v="2.141463411194966"/>
    <m/>
    <n v="8770.0801571959782"/>
    <n v="877.00801571959789"/>
    <n v="0.13667737619232742"/>
    <n v="4.7880676968691205"/>
    <n v="0.7980112828115199"/>
    <n v="35.031896501521402"/>
    <n v="5.8386494169202336"/>
    <n v="34.627628740171751"/>
    <n v="39.415696437040872"/>
    <n v="69.65952524169316"/>
    <n v="5.7712714566952936"/>
    <n v="6.5692827395068134"/>
    <n v="11.609920873615527"/>
    <n v="4"/>
    <n v="3.4627628740171752"/>
    <n v="634.2581160736471"/>
    <n v="9.8846000925664715E-2"/>
    <n v="0"/>
    <m/>
    <m/>
    <n v="96.070737499999993"/>
    <n v="75.646249999999995"/>
    <n v="1.27"/>
    <n v="88.29349999999998"/>
    <n v="74.824999999999989"/>
    <n v="1.18"/>
    <n v="140.02677500000001"/>
    <n v="72.178750000000008"/>
    <n v="1.94"/>
    <n v="149.20898750000001"/>
    <n v="73.349999999999994"/>
    <n v="2.0342056918882077"/>
    <n v="473.6"/>
    <n v="296"/>
    <n v="1.6"/>
    <n v="748.72869749999995"/>
    <n v="24.254249999999999"/>
    <n v="30.87"/>
    <n v="1062.4326925"/>
    <n v="24.217750000000002"/>
    <n v="43.87"/>
    <n v="1108.7402424999998"/>
    <n v="25.394874999999999"/>
    <n v="43.66"/>
    <n v="1343.594367500001"/>
    <n v="28.033125000000005"/>
    <n v="47.928811629099528"/>
    <n v="4263.496000000001"/>
    <n v="101.9"/>
    <n v="41.84"/>
    <n v="75.423052499999997"/>
    <n v="7.2452499999999995"/>
    <n v="10.41"/>
    <n v="112.00098000000001"/>
    <n v="7.6923750000000002"/>
    <n v="14.56"/>
    <n v="111.50275499999999"/>
    <n v="7.4733749999999999"/>
    <n v="14.92"/>
    <n v="138.51021250000002"/>
    <n v="7.4889999999999981"/>
    <n v="18.495154560021373"/>
    <n v="437.43700000000001"/>
    <n v="29.9"/>
    <n v="14.63"/>
    <n v="43.2"/>
    <n v="2.52"/>
    <n v="5.04"/>
    <n v="1.99"/>
    <n v="2.15"/>
    <n v="2.88"/>
    <n v="3.04"/>
    <n v="4.0199999999999996"/>
    <n v="5"/>
    <n v="5.04"/>
    <n v="6.05"/>
    <n v="33.35"/>
    <n v="45.46"/>
    <n v="44.85"/>
    <n v="49.14"/>
  </r>
  <r>
    <x v="10"/>
    <s v="HES"/>
    <x v="0"/>
    <n v="38"/>
    <n v="15"/>
    <n v="0"/>
    <n v="21.333333333333332"/>
    <n v="128"/>
    <n v="203"/>
    <n v="85"/>
    <n v="0"/>
    <n v="118.83333333333334"/>
    <n v="713"/>
    <n v="140.16666666666669"/>
    <n v="841"/>
    <n v="0.15219976218787157"/>
    <n v="0.296875"/>
    <n v="0.703125"/>
    <n v="0"/>
    <n v="103"/>
    <n v="0"/>
    <n v="71"/>
    <n v="689"/>
    <m/>
    <n v="114.83333333333333"/>
    <m/>
    <m/>
    <m/>
    <n v="32"/>
    <n v="26"/>
    <n v="1"/>
    <n v="13"/>
    <n v="72"/>
    <n v="37"/>
    <n v="17"/>
    <n v="5"/>
    <n v="22"/>
    <n v="81"/>
    <n v="0"/>
    <n v="0"/>
    <n v="0"/>
    <n v="0"/>
    <n v="0"/>
    <n v="558"/>
    <n v="93"/>
    <n v="316"/>
    <n v="137"/>
    <n v="421"/>
    <n v="544"/>
    <n v="1418"/>
    <m/>
    <m/>
    <m/>
    <m/>
    <m/>
    <m/>
    <m/>
    <m/>
    <m/>
    <m/>
    <m/>
    <m/>
    <m/>
    <m/>
    <m/>
    <m/>
    <m/>
    <m/>
    <m/>
    <n v="0"/>
    <n v="0"/>
    <m/>
    <m/>
    <m/>
    <m/>
    <m/>
    <m/>
    <m/>
    <m/>
    <m/>
    <m/>
    <m/>
    <m/>
    <m/>
    <m/>
    <m/>
    <m/>
    <m/>
    <m/>
    <m/>
    <m/>
    <m/>
    <m/>
    <m/>
    <m/>
    <m/>
    <m/>
    <m/>
    <m/>
    <m/>
    <m/>
    <m/>
    <m/>
    <m/>
    <m/>
    <m/>
    <m/>
    <m/>
    <m/>
    <m/>
    <m/>
    <m/>
    <m/>
    <m/>
    <m/>
    <m/>
    <m/>
    <m/>
    <m/>
    <m/>
    <m/>
    <m/>
    <m/>
    <m/>
    <m/>
    <m/>
    <m/>
    <m/>
    <m/>
    <m/>
    <m/>
    <m/>
    <m/>
    <m/>
    <m/>
    <m/>
    <m/>
    <m/>
    <m/>
    <m/>
    <m/>
    <n v="72.34"/>
    <n v="6.97"/>
    <n v="12.91"/>
    <m/>
    <m/>
    <m/>
    <m/>
    <m/>
    <m/>
    <m/>
    <m/>
    <m/>
    <m/>
    <m/>
    <m/>
  </r>
  <r>
    <x v="10"/>
    <s v="HES"/>
    <x v="1"/>
    <n v="34"/>
    <n v="15"/>
    <n v="0"/>
    <n v="20.666666666666668"/>
    <n v="124"/>
    <n v="238"/>
    <n v="82"/>
    <n v="0"/>
    <n v="121.66666666666666"/>
    <n v="730"/>
    <n v="142.33333333333331"/>
    <n v="854"/>
    <n v="0.14519906323185011"/>
    <n v="0.27419354838709675"/>
    <n v="0.72580645161290314"/>
    <n v="0"/>
    <n v="108"/>
    <n v="0"/>
    <n v="74"/>
    <n v="722"/>
    <n v="33"/>
    <n v="120.33333333333333"/>
    <n v="5.5"/>
    <n v="4.7895500725689405E-2"/>
    <m/>
    <n v="147"/>
    <n v="32"/>
    <n v="2"/>
    <n v="1"/>
    <n v="182"/>
    <n v="9"/>
    <n v="26"/>
    <n v="2"/>
    <n v="1"/>
    <n v="38"/>
    <n v="0"/>
    <n v="0"/>
    <n v="0"/>
    <n v="0"/>
    <n v="0"/>
    <n v="410"/>
    <n v="68.333333333333329"/>
    <n v="642"/>
    <n v="87"/>
    <n v="408"/>
    <n v="698"/>
    <n v="1835"/>
    <m/>
    <m/>
    <m/>
    <m/>
    <m/>
    <m/>
    <m/>
    <m/>
    <m/>
    <m/>
    <m/>
    <m/>
    <m/>
    <m/>
    <m/>
    <m/>
    <m/>
    <m/>
    <m/>
    <n v="0"/>
    <n v="0"/>
    <m/>
    <m/>
    <m/>
    <m/>
    <m/>
    <m/>
    <m/>
    <m/>
    <m/>
    <m/>
    <m/>
    <m/>
    <m/>
    <m/>
    <m/>
    <m/>
    <m/>
    <m/>
    <m/>
    <m/>
    <m/>
    <m/>
    <m/>
    <m/>
    <m/>
    <m/>
    <m/>
    <m/>
    <m/>
    <m/>
    <m/>
    <m/>
    <m/>
    <m/>
    <m/>
    <m/>
    <m/>
    <m/>
    <m/>
    <m/>
    <m/>
    <m/>
    <m/>
    <m/>
    <m/>
    <m/>
    <m/>
    <m/>
    <m/>
    <m/>
    <m/>
    <m/>
    <m/>
    <m/>
    <m/>
    <m/>
    <m/>
    <m/>
    <m/>
    <m/>
    <m/>
    <m/>
    <m/>
    <m/>
    <m/>
    <m/>
    <m/>
    <m/>
    <m/>
    <m/>
    <n v="99.67"/>
    <n v="8.86"/>
    <n v="15.2"/>
    <m/>
    <m/>
    <m/>
    <m/>
    <m/>
    <m/>
    <m/>
    <m/>
    <m/>
    <m/>
    <m/>
    <m/>
  </r>
  <r>
    <x v="10"/>
    <s v="HES"/>
    <x v="2"/>
    <n v="39"/>
    <n v="26"/>
    <n v="0"/>
    <n v="32.5"/>
    <n v="195"/>
    <n v="231"/>
    <n v="78"/>
    <n v="0"/>
    <n v="116.5"/>
    <n v="699"/>
    <n v="149"/>
    <n v="894"/>
    <n v="0.21812080536912751"/>
    <n v="0.2"/>
    <n v="0.8"/>
    <n v="0"/>
    <n v="95"/>
    <n v="0"/>
    <n v="101"/>
    <n v="671"/>
    <n v="-51"/>
    <n v="111.83333333333333"/>
    <n v="-8.5"/>
    <n v="-7.0637119113573413E-2"/>
    <m/>
    <n v="46"/>
    <n v="23"/>
    <n v="0"/>
    <n v="0"/>
    <n v="69"/>
    <n v="22"/>
    <n v="26"/>
    <n v="0"/>
    <n v="0"/>
    <n v="48"/>
    <n v="0"/>
    <n v="0"/>
    <n v="0"/>
    <n v="0"/>
    <n v="0"/>
    <n v="357"/>
    <n v="59.5"/>
    <n v="184"/>
    <n v="0"/>
    <n v="206"/>
    <n v="816"/>
    <n v="1206"/>
    <n v="4459"/>
    <n v="220.83333333333331"/>
    <n v="1325"/>
    <n v="20.191698113207551"/>
    <n v="3.3652830188679244"/>
    <m/>
    <n v="1805"/>
    <m/>
    <n v="255"/>
    <n v="255"/>
    <n v="1177"/>
    <m/>
    <n v="256.7281879194631"/>
    <m/>
    <n v="0"/>
    <n v="0"/>
    <n v="366"/>
    <m/>
    <n v="79.832214765100673"/>
    <n v="6880"/>
    <n v="6880"/>
    <n v="0.21812080536912751"/>
    <n v="2396.560402684564"/>
    <n v="73.740320082601968"/>
    <n v="12.290053347100327"/>
    <m/>
    <n v="3602.560402684564"/>
    <n v="360.25604026845645"/>
    <n v="0.29871976805012973"/>
    <n v="11.08480123902943"/>
    <n v="1.8474668731715715"/>
    <n v="37.107692307692311"/>
    <n v="6.1846153846153848"/>
    <n v="93.932018195809519"/>
    <n v="105.01681943483895"/>
    <n v="131.03971050350182"/>
    <n v="15.655336365968251"/>
    <n v="17.502803239139823"/>
    <n v="21.839951750583637"/>
    <n v="4"/>
    <n v="9.3932018195809519"/>
    <n v="305.27905913638097"/>
    <n v="0.25313354820595435"/>
    <n v="1437"/>
    <m/>
    <m/>
    <m/>
    <m/>
    <m/>
    <m/>
    <m/>
    <m/>
    <m/>
    <m/>
    <m/>
    <m/>
    <m/>
    <m/>
    <m/>
    <m/>
    <m/>
    <m/>
    <m/>
    <m/>
    <m/>
    <m/>
    <m/>
    <m/>
    <m/>
    <m/>
    <m/>
    <m/>
    <m/>
    <m/>
    <m/>
    <m/>
    <m/>
    <m/>
    <m/>
    <m/>
    <m/>
    <m/>
    <m/>
    <m/>
    <m/>
    <m/>
    <m/>
    <m/>
    <n v="0"/>
    <m/>
    <m/>
    <n v="61.95"/>
    <n v="3.94"/>
    <n v="8.99"/>
    <m/>
    <m/>
    <m/>
    <m/>
    <m/>
    <m/>
    <m/>
    <m/>
    <m/>
    <m/>
    <m/>
    <m/>
  </r>
  <r>
    <x v="10"/>
    <s v="HES"/>
    <x v="3"/>
    <n v="46"/>
    <n v="32"/>
    <n v="0"/>
    <n v="39.666666666666664"/>
    <n v="238"/>
    <n v="217"/>
    <n v="80"/>
    <n v="0"/>
    <n v="116.16666666666666"/>
    <n v="697"/>
    <n v="155.83333333333331"/>
    <n v="935"/>
    <n v="0.25454545454545452"/>
    <n v="0.19327731092436976"/>
    <n v="0.80672268907563027"/>
    <n v="0"/>
    <n v="124"/>
    <n v="0"/>
    <n v="81"/>
    <n v="825"/>
    <n v="154"/>
    <n v="137.5"/>
    <n v="25.666666666666671"/>
    <n v="0.22950819672131154"/>
    <m/>
    <n v="-7"/>
    <n v="14"/>
    <n v="13"/>
    <n v="0"/>
    <n v="20"/>
    <n v="68"/>
    <n v="3"/>
    <n v="16"/>
    <n v="0"/>
    <n v="87"/>
    <n v="0"/>
    <n v="0"/>
    <n v="0"/>
    <n v="0"/>
    <n v="0"/>
    <n v="542"/>
    <n v="90.333333333333329"/>
    <n v="1849"/>
    <n v="443"/>
    <n v="185"/>
    <n v="1026"/>
    <n v="3503"/>
    <n v="6544"/>
    <n v="218.16666666666666"/>
    <n v="1309"/>
    <n v="29.995416348357526"/>
    <n v="4.9992360580595872"/>
    <m/>
    <n v="589"/>
    <m/>
    <n v="161"/>
    <n v="161"/>
    <n v="1450"/>
    <m/>
    <n v="369.09090909090907"/>
    <m/>
    <n v="0"/>
    <n v="0"/>
    <n v="366"/>
    <m/>
    <n v="93.163636363636357"/>
    <n v="8608"/>
    <n v="8608"/>
    <n v="0.25454545454545452"/>
    <n v="1212.2545454545455"/>
    <n v="30.561038961038964"/>
    <n v="5.0935064935064931"/>
    <m/>
    <n v="4715.2545454545452"/>
    <n v="471.52545454545452"/>
    <n v="0.13460618171437469"/>
    <n v="11.887196333078686"/>
    <n v="1.9811993888464476"/>
    <n v="88.310924369747909"/>
    <n v="14.718487394957982"/>
    <n v="60.55645530939649"/>
    <n v="72.443651642475174"/>
    <n v="148.86737967914439"/>
    <n v="10.092742551566079"/>
    <n v="12.073941940412528"/>
    <n v="24.811229946524062"/>
    <n v="4"/>
    <n v="6.0556455309396489"/>
    <n v="240.20727272727274"/>
    <n v="6.8571873459112975E-2"/>
    <n v="1783"/>
    <m/>
    <m/>
    <m/>
    <m/>
    <m/>
    <m/>
    <m/>
    <m/>
    <m/>
    <m/>
    <m/>
    <m/>
    <m/>
    <m/>
    <m/>
    <m/>
    <m/>
    <m/>
    <m/>
    <m/>
    <m/>
    <m/>
    <m/>
    <m/>
    <m/>
    <m/>
    <m/>
    <m/>
    <m/>
    <m/>
    <m/>
    <m/>
    <m/>
    <m/>
    <m/>
    <m/>
    <m/>
    <m/>
    <m/>
    <m/>
    <m/>
    <m/>
    <m/>
    <m/>
    <n v="0"/>
    <m/>
    <m/>
    <n v="79.48"/>
    <n v="4.37"/>
    <n v="11.83"/>
    <m/>
    <m/>
    <m/>
    <m/>
    <m/>
    <m/>
    <m/>
    <m/>
    <m/>
    <m/>
    <m/>
    <m/>
  </r>
  <r>
    <x v="10"/>
    <s v="HES"/>
    <x v="4"/>
    <n v="42"/>
    <n v="34"/>
    <n v="0"/>
    <n v="41"/>
    <n v="246"/>
    <n v="202"/>
    <n v="63"/>
    <n v="0"/>
    <n v="96.666666666666657"/>
    <n v="580"/>
    <n v="137.66666666666666"/>
    <n v="826"/>
    <n v="0.29782082324455206"/>
    <n v="0.17073170731707318"/>
    <n v="0.82926829268292679"/>
    <n v="0"/>
    <n v="183"/>
    <n v="0"/>
    <n v="161"/>
    <n v="1259"/>
    <n v="434"/>
    <n v="209.83333333333334"/>
    <n v="72.333333333333343"/>
    <n v="0.52606060606060612"/>
    <m/>
    <n v="36"/>
    <n v="85"/>
    <n v="1"/>
    <n v="0"/>
    <n v="122"/>
    <n v="33"/>
    <n v="70"/>
    <n v="0"/>
    <n v="0"/>
    <n v="103"/>
    <n v="0"/>
    <n v="0"/>
    <n v="0"/>
    <n v="0"/>
    <n v="0"/>
    <n v="740"/>
    <n v="123.33333333333333"/>
    <n v="992"/>
    <n v="6"/>
    <n v="93"/>
    <n v="1979"/>
    <n v="3070"/>
    <n v="7779"/>
    <n v="273.16666666666663"/>
    <n v="1639"/>
    <n v="28.477120195241003"/>
    <n v="4.7461866992068336"/>
    <m/>
    <n v="531"/>
    <m/>
    <n v="190"/>
    <n v="190"/>
    <n v="1384"/>
    <m/>
    <n v="412.18401937046002"/>
    <m/>
    <n v="129"/>
    <n v="129"/>
    <n v="396"/>
    <m/>
    <n v="117.93704600484261"/>
    <n v="10586"/>
    <n v="10586"/>
    <n v="0.29782082324455206"/>
    <n v="1380.1210653753026"/>
    <n v="33.661489399397624"/>
    <n v="5.6102482332329373"/>
    <m/>
    <n v="4450.1210653753024"/>
    <n v="445.01210653753026"/>
    <n v="0.14495508356271344"/>
    <n v="10.853953817988543"/>
    <n v="1.8089923029980906"/>
    <n v="74.878048780487802"/>
    <n v="12.479674796747968"/>
    <n v="62.138609594638623"/>
    <n v="72.992563412627163"/>
    <n v="137.01665837512644"/>
    <n v="10.356434932439772"/>
    <n v="12.165427235437862"/>
    <n v="22.83610972918774"/>
    <n v="4"/>
    <n v="6.2138609594638625"/>
    <n v="254.76829933801835"/>
    <n v="8.2986416722481554E-2"/>
    <n v="2022"/>
    <m/>
    <m/>
    <m/>
    <m/>
    <m/>
    <m/>
    <m/>
    <m/>
    <m/>
    <m/>
    <m/>
    <m/>
    <m/>
    <m/>
    <m/>
    <m/>
    <m/>
    <m/>
    <m/>
    <m/>
    <m/>
    <m/>
    <m/>
    <m/>
    <m/>
    <m/>
    <m/>
    <m/>
    <m/>
    <m/>
    <m/>
    <m/>
    <m/>
    <m/>
    <m/>
    <m/>
    <m/>
    <m/>
    <m/>
    <m/>
    <m/>
    <m/>
    <m/>
    <m/>
    <m/>
    <m/>
    <m/>
    <n v="94.88"/>
    <n v="4"/>
    <n v="15.12"/>
    <m/>
    <m/>
    <m/>
    <m/>
    <m/>
    <m/>
    <m/>
    <m/>
    <m/>
    <m/>
    <m/>
    <m/>
  </r>
  <r>
    <x v="10"/>
    <s v="HES"/>
    <x v="5"/>
    <n v="50"/>
    <n v="45"/>
    <n v="0"/>
    <n v="53.333333333333336"/>
    <n v="320"/>
    <n v="194"/>
    <n v="65"/>
    <n v="0"/>
    <n v="97.333333333333343"/>
    <n v="584"/>
    <n v="150.66666666666669"/>
    <n v="904"/>
    <n v="0.35398230088495575"/>
    <n v="0.15625"/>
    <n v="0.84375"/>
    <n v="0"/>
    <n v="193"/>
    <n v="0"/>
    <n v="168"/>
    <n v="1326"/>
    <n v="67"/>
    <n v="221"/>
    <n v="11.166666666666657"/>
    <n v="5.3216838760921321E-2"/>
    <m/>
    <n v="10"/>
    <n v="76"/>
    <n v="0"/>
    <n v="4"/>
    <n v="90"/>
    <n v="32"/>
    <n v="108"/>
    <n v="0"/>
    <n v="7"/>
    <n v="147"/>
    <n v="0"/>
    <n v="0"/>
    <n v="0"/>
    <n v="0"/>
    <n v="0"/>
    <n v="972"/>
    <n v="162"/>
    <n v="179"/>
    <n v="0"/>
    <n v="86"/>
    <n v="3521"/>
    <n v="3786"/>
    <n v="10359"/>
    <n v="375.66666666666663"/>
    <n v="2254"/>
    <n v="27.574977817213846"/>
    <n v="4.595829636202307"/>
    <m/>
    <n v="758"/>
    <m/>
    <n v="196"/>
    <n v="196"/>
    <n v="1822"/>
    <m/>
    <n v="644.95575221238937"/>
    <m/>
    <n v="199"/>
    <n v="199"/>
    <n v="447"/>
    <m/>
    <n v="158.23008849557522"/>
    <n v="12196"/>
    <n v="12196"/>
    <n v="0.35398230088495575"/>
    <n v="1956.1858407079646"/>
    <n v="36.678484513274334"/>
    <n v="6.1130807522123893"/>
    <m/>
    <n v="5742.1858407079644"/>
    <n v="574.21858407079651"/>
    <n v="0.1516689339859473"/>
    <n v="10.766598451327434"/>
    <n v="1.7944330752212392"/>
    <n v="70.987499999999997"/>
    <n v="11.831250000000001"/>
    <n v="64.253462330488176"/>
    <n v="75.020060781815616"/>
    <n v="135.24096233048817"/>
    <n v="10.708910388414697"/>
    <n v="12.503343463635936"/>
    <n v="22.540160388414698"/>
    <n v="4"/>
    <n v="6.4253462330488178"/>
    <n v="342.68513242927031"/>
    <n v="9.0513769791143769E-2"/>
    <n v="2259"/>
    <m/>
    <m/>
    <n v="15.96875"/>
    <n v="9.125"/>
    <n v="1.75"/>
    <n v="17.113937499999999"/>
    <n v="11.04125"/>
    <n v="1.55"/>
    <n v="23.075300000000002"/>
    <n v="10.585000000000001"/>
    <n v="2.1800000000000002"/>
    <n v="34.621162499999983"/>
    <n v="12.683749999999996"/>
    <n v="2.7295683453237403"/>
    <n v="90.779149999999987"/>
    <n v="43.434999999999995"/>
    <n v="2.09"/>
    <n v="831.50649999999996"/>
    <n v="8.6687499999999993"/>
    <n v="95.92"/>
    <n v="914.75661249999996"/>
    <n v="9.9462499999999991"/>
    <n v="91.97"/>
    <n v="896.85336249999989"/>
    <n v="9.9462499999999991"/>
    <n v="90.17"/>
    <n v="1114.3979250000002"/>
    <n v="10.858750000000004"/>
    <n v="102.62672268907561"/>
    <n v="3757.5144"/>
    <n v="39.42"/>
    <n v="95.32"/>
    <n v="62.929650000000002"/>
    <n v="1.2775000000000001"/>
    <n v="49.26"/>
    <n v="55.776562499999997"/>
    <n v="1.3687499999999999"/>
    <n v="40.75"/>
    <n v="55.991"/>
    <n v="1.46"/>
    <n v="38.35"/>
    <n v="63.282787499999976"/>
    <n v="1.7337499999999999"/>
    <n v="36.500526315789465"/>
    <n v="237.98"/>
    <n v="5.84"/>
    <n v="40.75"/>
    <n v="94.05"/>
    <n v="2.75"/>
    <n v="10.98"/>
    <n v="2.41"/>
    <n v="2.2799999999999998"/>
    <n v="2.88"/>
    <n v="3.4"/>
    <n v="13.14"/>
    <n v="10.75"/>
    <n v="9.9600000000000009"/>
    <n v="10.08"/>
    <n v="102.98"/>
    <n v="93.29"/>
    <n v="92.17"/>
    <n v="88.01"/>
  </r>
  <r>
    <x v="10"/>
    <s v="HES"/>
    <x v="6"/>
    <n v="51"/>
    <n v="45"/>
    <n v="0"/>
    <n v="53.5"/>
    <n v="321"/>
    <n v="169"/>
    <n v="43"/>
    <n v="0"/>
    <n v="71.166666666666671"/>
    <n v="427"/>
    <n v="124.66666666666667"/>
    <n v="748"/>
    <n v="0.42914438502673796"/>
    <n v="0.15887850467289719"/>
    <n v="0.84112149532710279"/>
    <n v="0"/>
    <n v="242"/>
    <n v="62"/>
    <n v="185"/>
    <n v="2009"/>
    <n v="683"/>
    <n v="334.83333333333331"/>
    <n v="113.83333333333331"/>
    <n v="0.51508295625942679"/>
    <m/>
    <n v="-12"/>
    <n v="131"/>
    <n v="0"/>
    <n v="0"/>
    <n v="119"/>
    <n v="-55"/>
    <n v="211"/>
    <n v="0"/>
    <n v="0"/>
    <n v="156"/>
    <n v="0"/>
    <n v="0"/>
    <n v="0"/>
    <n v="0"/>
    <n v="0"/>
    <n v="1055"/>
    <n v="175.83333333333334"/>
    <n v="55"/>
    <n v="0"/>
    <n v="32"/>
    <n v="2109"/>
    <n v="2196"/>
    <n v="9052"/>
    <n v="461.16666666666663"/>
    <n v="2767"/>
    <n v="19.628478496566679"/>
    <n v="3.271413082761113"/>
    <m/>
    <n v="675"/>
    <m/>
    <n v="203"/>
    <n v="203"/>
    <n v="1353"/>
    <m/>
    <n v="580.63235294117646"/>
    <m/>
    <n v="232"/>
    <n v="232"/>
    <n v="466"/>
    <m/>
    <n v="199.98128342245988"/>
    <n v="11849"/>
    <n v="11849"/>
    <n v="0.42914438502673796"/>
    <n v="1890.6136363636365"/>
    <n v="35.338572642310965"/>
    <n v="5.8897621070518271"/>
    <m/>
    <n v="4086.6136363636365"/>
    <n v="408.66136363636366"/>
    <n v="0.18609351713859912"/>
    <n v="7.638530161427358"/>
    <n v="1.2730883602378931"/>
    <n v="41.046728971962615"/>
    <n v="6.8411214953271031"/>
    <n v="54.967051138877643"/>
    <n v="62.605581300305005"/>
    <n v="96.013780110840258"/>
    <n v="9.1611751898129405"/>
    <n v="10.434263550050833"/>
    <n v="16.002296685140045"/>
    <n v="4"/>
    <n v="5.4967051138877645"/>
    <n v="294.07372359299541"/>
    <n v="0.13391335318442413"/>
    <n v="2045"/>
    <m/>
    <m/>
    <n v="32.6465125"/>
    <n v="12.13625"/>
    <n v="2.69"/>
    <n v="40.914675000000003"/>
    <n v="12.866249999999999"/>
    <n v="3.18"/>
    <n v="27.904249999999998"/>
    <n v="10.0375"/>
    <n v="2.78"/>
    <n v="32.504162499999985"/>
    <n v="10.220000000000001"/>
    <n v="3.1804464285714271"/>
    <n v="133.96959999999999"/>
    <n v="45.26"/>
    <n v="2.96"/>
    <n v="1000.5005875000002"/>
    <n v="10.311250000000001"/>
    <n v="97.03"/>
    <n v="984.5145"/>
    <n v="10.12875"/>
    <n v="97.2"/>
    <n v="937.99524999999994"/>
    <n v="9.3987499999999997"/>
    <n v="99.8"/>
    <n v="841.59966250000002"/>
    <n v="9.5812500000000007"/>
    <n v="87.838190476190476"/>
    <n v="3764.61"/>
    <n v="39.42"/>
    <n v="95.5"/>
    <n v="57.846112499999997"/>
    <n v="1.55125"/>
    <n v="37.29"/>
    <n v="50.472200000000001"/>
    <n v="1.46"/>
    <n v="34.57"/>
    <n v="56.159812500000001"/>
    <n v="1.3687499999999999"/>
    <n v="41.03"/>
    <n v="43.955125000000002"/>
    <n v="1.0949999999999993"/>
    <n v="40.141666666666694"/>
    <n v="208.43324999999999"/>
    <n v="5.4749999999999996"/>
    <n v="38.07"/>
    <n v="97.98"/>
    <n v="3.73"/>
    <n v="9.94"/>
    <n v="3.49"/>
    <n v="4.01"/>
    <n v="3.56"/>
    <n v="3.85"/>
    <n v="9.77"/>
    <n v="9.39"/>
    <n v="10.01"/>
    <n v="10.53"/>
    <n v="94.33"/>
    <n v="94.05"/>
    <n v="105.83"/>
    <n v="97.44"/>
  </r>
  <r>
    <x v="10"/>
    <s v="HES"/>
    <x v="7"/>
    <n v="66"/>
    <n v="46"/>
    <n v="8"/>
    <n v="65"/>
    <n v="390"/>
    <n v="131"/>
    <n v="35"/>
    <n v="0"/>
    <n v="56.833333333333329"/>
    <n v="341"/>
    <n v="121.83333333333333"/>
    <n v="731"/>
    <n v="0.53351573187414503"/>
    <n v="0.16923076923076924"/>
    <n v="0.70769230769230773"/>
    <n v="0.12307692307692308"/>
    <n v="248"/>
    <n v="63"/>
    <n v="270"/>
    <n v="2136"/>
    <n v="127"/>
    <n v="356"/>
    <n v="21.166666666666686"/>
    <n v="6.3215530114484872E-2"/>
    <m/>
    <n v="58"/>
    <n v="184"/>
    <n v="0"/>
    <n v="0"/>
    <n v="242"/>
    <n v="-26"/>
    <n v="115"/>
    <n v="0"/>
    <n v="0"/>
    <n v="89"/>
    <n v="-8"/>
    <n v="22"/>
    <n v="0"/>
    <n v="0"/>
    <n v="14"/>
    <n v="860"/>
    <n v="143.33333333333334"/>
    <n v="21"/>
    <n v="0"/>
    <n v="28"/>
    <n v="2665"/>
    <n v="2714"/>
    <n v="8696"/>
    <n v="481.16666666666674"/>
    <n v="2887"/>
    <n v="18.072739868375475"/>
    <n v="3.0121233113959125"/>
    <m/>
    <n v="731"/>
    <m/>
    <n v="482"/>
    <n v="482"/>
    <n v="455"/>
    <m/>
    <n v="242.749658002736"/>
    <m/>
    <n v="240"/>
    <n v="240"/>
    <n v="397"/>
    <m/>
    <n v="211.80574555403558"/>
    <n v="10702"/>
    <n v="10702"/>
    <n v="0.53351573187414503"/>
    <n v="1907.5554035567716"/>
    <n v="29.347006208565716"/>
    <n v="4.8911677014276194"/>
    <m/>
    <n v="4621.5554035567711"/>
    <n v="462.15554035567715"/>
    <n v="0.17028575547372038"/>
    <n v="7.1100852362411873"/>
    <n v="1.1850142060401978"/>
    <n v="41.753846153846155"/>
    <n v="6.9589743589743591"/>
    <n v="47.419746076941195"/>
    <n v="54.529831313182385"/>
    <n v="89.173592230787349"/>
    <n v="7.9032910128235319"/>
    <n v="9.088305218863729"/>
    <n v="14.862265371797891"/>
    <n v="4"/>
    <n v="4.7419746076941198"/>
    <n v="308.22834950011782"/>
    <n v="0.11356976768611562"/>
    <n v="1416"/>
    <m/>
    <m/>
    <n v="53.859399999999994"/>
    <n v="10.858749999999999"/>
    <n v="4.96"/>
    <n v="69.698574999999991"/>
    <n v="16.516249999999999"/>
    <n v="4.22"/>
    <n v="45.250875000000001"/>
    <n v="15.8775"/>
    <n v="2.85"/>
    <n v="40.171900000000043"/>
    <n v="16.972500000000004"/>
    <n v="2.3668817204301096"/>
    <n v="208.98075000000003"/>
    <n v="60.225000000000001"/>
    <n v="3.47"/>
    <n v="1000.73145"/>
    <n v="10.7675"/>
    <n v="92.94"/>
    <n v="1119.7050250000002"/>
    <n v="11.588750000000001"/>
    <n v="96.62"/>
    <n v="1043.3296875000001"/>
    <n v="11.40625"/>
    <n v="91.47"/>
    <n v="878.8533874999996"/>
    <n v="12.592500000000003"/>
    <n v="69.791811594202855"/>
    <n v="4042.6195499999999"/>
    <n v="46.355000000000004"/>
    <n v="87.21"/>
    <n v="41.695774999999998"/>
    <n v="1.0037499999999999"/>
    <n v="41.54"/>
    <n v="64.586749999999995"/>
    <n v="1.825"/>
    <n v="35.39"/>
    <n v="76.317850000000007"/>
    <n v="2.6462500000000002"/>
    <n v="28.84"/>
    <n v="63.541024999999962"/>
    <n v="2.919999999999999"/>
    <n v="21.760624999999994"/>
    <n v="246.14139999999998"/>
    <n v="8.3949999999999996"/>
    <n v="29.32"/>
    <n v="93.17"/>
    <n v="4.37"/>
    <n v="9.56"/>
    <n v="5.21"/>
    <n v="4.6100000000000003"/>
    <n v="3.96"/>
    <n v="3.8"/>
    <n v="11.19"/>
    <n v="10.15"/>
    <n v="9.83"/>
    <n v="7.41"/>
    <n v="98.68"/>
    <n v="103.35"/>
    <n v="97.87"/>
    <n v="73.209999999999994"/>
  </r>
  <r>
    <x v="10"/>
    <s v="HES"/>
    <x v="8"/>
    <n v="104"/>
    <n v="54"/>
    <n v="14"/>
    <n v="85.333333333333329"/>
    <n v="512"/>
    <n v="123"/>
    <n v="33"/>
    <n v="0"/>
    <n v="53.5"/>
    <n v="321"/>
    <n v="138.83333333333331"/>
    <n v="833"/>
    <n v="0.61464585834333729"/>
    <n v="0.203125"/>
    <n v="0.6328125"/>
    <n v="0.1640625"/>
    <n v="93"/>
    <n v="23"/>
    <n v="137"/>
    <n v="833"/>
    <n v="-1303"/>
    <n v="138.83333333333334"/>
    <n v="-217.16666666666666"/>
    <n v="-0.61001872659176026"/>
    <m/>
    <n v="-113"/>
    <n v="102"/>
    <n v="0"/>
    <n v="0"/>
    <n v="-11"/>
    <n v="-157"/>
    <n v="45"/>
    <n v="0"/>
    <n v="0"/>
    <n v="-112"/>
    <n v="-42"/>
    <n v="11"/>
    <n v="0"/>
    <n v="0"/>
    <n v="-31"/>
    <n v="-869"/>
    <n v="-144.83333333333331"/>
    <n v="22"/>
    <n v="0"/>
    <n v="210"/>
    <n v="2263"/>
    <n v="2495"/>
    <n v="7405"/>
    <n v="174.33333333333337"/>
    <n v="1046"/>
    <n v="42.476099426386227"/>
    <n v="7.0793499043977057"/>
    <m/>
    <n v="786"/>
    <m/>
    <n v="711"/>
    <n v="711"/>
    <n v="140"/>
    <m/>
    <n v="86.05042016806722"/>
    <m/>
    <n v="138"/>
    <n v="138"/>
    <n v="376"/>
    <m/>
    <n v="231.10684273709481"/>
    <n v="6554"/>
    <n v="6554"/>
    <n v="0.61464585834333729"/>
    <n v="1952.157262905162"/>
    <n v="22.876842924669869"/>
    <n v="3.8128071541116446"/>
    <m/>
    <n v="4447.1572629051625"/>
    <n v="444.71572629051627"/>
    <n v="0.17824277606834318"/>
    <n v="5.211512417466988"/>
    <n v="0.86858540291116459"/>
    <n v="29.23828125"/>
    <n v="4.873046875"/>
    <n v="65.3529423510561"/>
    <n v="70.564454768523092"/>
    <n v="94.5912236010561"/>
    <n v="10.892157058509351"/>
    <n v="11.760742461420516"/>
    <n v="15.765203933509351"/>
    <n v="4"/>
    <n v="6.53529423510561"/>
    <n v="557.67844139567865"/>
    <n v="0.22351841338504155"/>
    <n v="1415"/>
    <m/>
    <m/>
    <n v="39.629874999999998"/>
    <n v="18.432500000000001"/>
    <n v="2.15"/>
    <n v="46.493699999999997"/>
    <n v="24.09"/>
    <n v="1.93"/>
    <n v="49.581599999999995"/>
    <n v="25.823749999999997"/>
    <n v="1.92"/>
    <n v="32.26782500000003"/>
    <n v="26.553750000000001"/>
    <n v="1.2151890034364272"/>
    <n v="167.97300000000001"/>
    <n v="94.9"/>
    <n v="1.77"/>
    <n v="512.7885"/>
    <n v="12.775"/>
    <n v="40.14"/>
    <n v="762.87281250000001"/>
    <n v="14.32625"/>
    <n v="53.25"/>
    <n v="573.24709999999993"/>
    <n v="13.87"/>
    <n v="41.33"/>
    <n v="512.44813749999946"/>
    <n v="12.683749999999995"/>
    <n v="40.401942446043144"/>
    <n v="2361.3565499999995"/>
    <n v="53.654999999999994"/>
    <n v="44.01"/>
    <n v="44.893174999999999"/>
    <n v="3.1025"/>
    <n v="14.47"/>
    <n v="38.179000000000002"/>
    <n v="3.65"/>
    <n v="10.46"/>
    <n v="23.808037500000001"/>
    <n v="3.5587499999999999"/>
    <n v="6.69"/>
    <n v="32.09718749999999"/>
    <n v="3.558749999999999"/>
    <n v="9.0192307692307683"/>
    <n v="138.97739999999999"/>
    <n v="13.87"/>
    <n v="10.02"/>
    <n v="48.66"/>
    <n v="2.62"/>
    <n v="4.97"/>
    <n v="2.9"/>
    <n v="2.75"/>
    <n v="2.76"/>
    <n v="2.12"/>
    <n v="5.43"/>
    <n v="5.2"/>
    <n v="4.68"/>
    <n v="4.5999999999999996"/>
    <n v="48.49"/>
    <n v="57.85"/>
    <n v="46.64"/>
    <n v="41.94"/>
  </r>
  <r>
    <x v="10"/>
    <s v="HES"/>
    <x v="9"/>
    <n v="104"/>
    <n v="45"/>
    <n v="16"/>
    <n v="78.333333333333329"/>
    <n v="470"/>
    <n v="102"/>
    <n v="25"/>
    <n v="0"/>
    <n v="42"/>
    <n v="252"/>
    <n v="120.33333333333333"/>
    <n v="722"/>
    <n v="0.65096952908587258"/>
    <n v="0.22127659574468084"/>
    <n v="0.57446808510638303"/>
    <n v="0.20425531914893619"/>
    <n v="110"/>
    <n v="27"/>
    <n v="186"/>
    <n v="1008"/>
    <n v="175"/>
    <n v="168"/>
    <n v="29.166666666666657"/>
    <n v="0.2100840336134453"/>
    <m/>
    <n v="116"/>
    <n v="83"/>
    <n v="0"/>
    <n v="0"/>
    <n v="199"/>
    <n v="42"/>
    <n v="12"/>
    <n v="0"/>
    <n v="0"/>
    <n v="54"/>
    <n v="23"/>
    <n v="5"/>
    <n v="0"/>
    <n v="0"/>
    <n v="28"/>
    <n v="691"/>
    <n v="115.16666666666666"/>
    <n v="11"/>
    <n v="0"/>
    <n v="198"/>
    <n v="818"/>
    <n v="1027"/>
    <n v="6236"/>
    <n v="113.66666666666669"/>
    <n v="682"/>
    <n v="54.86217008797653"/>
    <n v="9.1436950146627574"/>
    <m/>
    <n v="955"/>
    <m/>
    <n v="696"/>
    <n v="696"/>
    <n v="-132"/>
    <m/>
    <n v="-85.927977839335185"/>
    <m/>
    <n v="94"/>
    <n v="94"/>
    <n v="380"/>
    <m/>
    <n v="247.36842105263159"/>
    <n v="4669"/>
    <n v="4669"/>
    <n v="0.65096952908587258"/>
    <n v="1906.4404432132965"/>
    <n v="24.337537572935702"/>
    <n v="4.0562562621559497"/>
    <m/>
    <n v="2933.4404432132965"/>
    <n v="293.34404432132965"/>
    <n v="0.28563198083868513"/>
    <n v="3.7448175870808043"/>
    <n v="0.62413626451346738"/>
    <n v="13.110638297872342"/>
    <n v="2.1851063829787236"/>
    <n v="79.199707660912225"/>
    <n v="82.944525247993028"/>
    <n v="92.310345958784566"/>
    <n v="13.199951276818707"/>
    <n v="13.824087541332174"/>
    <n v="15.385057659797431"/>
    <n v="4"/>
    <n v="7.9199707660912226"/>
    <n v="620.39771001047905"/>
    <n v="0.60408735151945381"/>
    <n v="597"/>
    <m/>
    <m/>
    <n v="31.984950000000005"/>
    <n v="25.185000000000002"/>
    <n v="1.27"/>
    <n v="29.957375000000003"/>
    <n v="22.356249999999999"/>
    <n v="1.34"/>
    <n v="41.144625000000005"/>
    <n v="24.637500000000003"/>
    <n v="1.67"/>
    <n v="48.526750000000021"/>
    <n v="21.991249999999994"/>
    <n v="2.2066390041493791"/>
    <n v="151.61370000000002"/>
    <n v="94.17"/>
    <n v="1.61"/>
    <n v="329.40885000000003"/>
    <n v="12.227500000000001"/>
    <n v="26.94"/>
    <n v="430.91535000000005"/>
    <n v="10.7675"/>
    <n v="40.020000000000003"/>
    <n v="437.84122500000001"/>
    <n v="11.1325"/>
    <n v="39.33"/>
    <n v="455.233475"/>
    <n v="10.402500000000002"/>
    <n v="43.761929824561399"/>
    <n v="1653.3989000000001"/>
    <n v="44.53"/>
    <n v="37.130000000000003"/>
    <n v="30.221999999999998"/>
    <n v="4.1974999999999998"/>
    <n v="7.2"/>
    <n v="34.685949999999998"/>
    <n v="3.9237499999999996"/>
    <n v="8.84"/>
    <n v="36.134999999999998"/>
    <n v="4.0149999999999997"/>
    <n v="9"/>
    <n v="51.355500000000021"/>
    <n v="3.5587499999999999"/>
    <n v="14.430769230769236"/>
    <n v="152.39845"/>
    <n v="15.694999999999999"/>
    <n v="9.7100000000000009"/>
    <n v="43.2"/>
    <n v="2.52"/>
    <n v="5.04"/>
    <n v="1.99"/>
    <n v="2.15"/>
    <n v="2.88"/>
    <n v="3.04"/>
    <n v="4.0199999999999996"/>
    <n v="5"/>
    <n v="5.04"/>
    <n v="6.05"/>
    <n v="33.35"/>
    <n v="45.46"/>
    <n v="44.85"/>
    <n v="49.14"/>
  </r>
  <r>
    <x v="11"/>
    <s v="MRO"/>
    <x v="0"/>
    <n v="174"/>
    <n v="23"/>
    <m/>
    <n v="52"/>
    <n v="312"/>
    <n v="132"/>
    <n v="46"/>
    <m/>
    <n v="68"/>
    <n v="408"/>
    <n v="120"/>
    <n v="720"/>
    <n v="0.43333333333333335"/>
    <n v="0.55769230769230771"/>
    <n v="0.44230769230769229"/>
    <n v="0"/>
    <n v="31"/>
    <n v="0"/>
    <n v="246"/>
    <n v="432"/>
    <m/>
    <n v="72"/>
    <m/>
    <m/>
    <m/>
    <n v="-36"/>
    <n v="148"/>
    <n v="1"/>
    <n v="0"/>
    <n v="113"/>
    <n v="2"/>
    <n v="5"/>
    <n v="2"/>
    <n v="8"/>
    <n v="17"/>
    <n v="0"/>
    <n v="0"/>
    <n v="0"/>
    <n v="0"/>
    <n v="0"/>
    <n v="215"/>
    <n v="35.833333333333329"/>
    <n v="142"/>
    <n v="4"/>
    <n v="523"/>
    <n v="697"/>
    <n v="1366"/>
    <m/>
    <m/>
    <m/>
    <m/>
    <m/>
    <m/>
    <m/>
    <m/>
    <m/>
    <m/>
    <m/>
    <m/>
    <m/>
    <m/>
    <m/>
    <m/>
    <m/>
    <m/>
    <m/>
    <n v="0"/>
    <n v="0"/>
    <m/>
    <m/>
    <m/>
    <m/>
    <m/>
    <m/>
    <m/>
    <m/>
    <m/>
    <m/>
    <m/>
    <m/>
    <m/>
    <m/>
    <m/>
    <m/>
    <m/>
    <m/>
    <m/>
    <m/>
    <m/>
    <m/>
    <m/>
    <m/>
    <m/>
    <m/>
    <m/>
    <m/>
    <m/>
    <m/>
    <m/>
    <m/>
    <m/>
    <m/>
    <m/>
    <m/>
    <m/>
    <m/>
    <m/>
    <m/>
    <m/>
    <m/>
    <m/>
    <m/>
    <m/>
    <m/>
    <m/>
    <m/>
    <m/>
    <m/>
    <m/>
    <m/>
    <m/>
    <m/>
    <m/>
    <m/>
    <m/>
    <m/>
    <m/>
    <m/>
    <m/>
    <m/>
    <m/>
    <m/>
    <m/>
    <m/>
    <m/>
    <m/>
    <m/>
    <m/>
    <n v="72.34"/>
    <n v="6.97"/>
    <n v="12.91"/>
    <m/>
    <m/>
    <m/>
    <m/>
    <m/>
    <m/>
    <m/>
    <m/>
    <m/>
    <m/>
    <m/>
    <m/>
  </r>
  <r>
    <x v="11"/>
    <s v="MRO"/>
    <x v="1"/>
    <n v="164"/>
    <n v="23"/>
    <m/>
    <n v="50.333333333333329"/>
    <n v="302"/>
    <n v="183"/>
    <n v="52"/>
    <m/>
    <n v="82.5"/>
    <n v="495"/>
    <n v="132.83333333333331"/>
    <n v="797"/>
    <n v="0.37892095357590966"/>
    <n v="0.54304635761589404"/>
    <n v="0.45695364238410602"/>
    <n v="0"/>
    <n v="41"/>
    <n v="0"/>
    <n v="246"/>
    <n v="492"/>
    <n v="60"/>
    <n v="82"/>
    <n v="10"/>
    <n v="0.1388888888888889"/>
    <m/>
    <n v="79"/>
    <n v="165"/>
    <n v="0"/>
    <n v="0"/>
    <n v="244"/>
    <n v="3"/>
    <n v="31"/>
    <n v="0"/>
    <n v="1"/>
    <n v="35"/>
    <n v="0"/>
    <n v="0"/>
    <n v="0"/>
    <n v="0"/>
    <n v="0"/>
    <n v="454"/>
    <n v="75.666666666666657"/>
    <n v="397"/>
    <n v="3"/>
    <n v="738"/>
    <n v="1072"/>
    <n v="2210"/>
    <m/>
    <m/>
    <m/>
    <m/>
    <m/>
    <m/>
    <m/>
    <m/>
    <m/>
    <m/>
    <m/>
    <m/>
    <m/>
    <m/>
    <m/>
    <m/>
    <m/>
    <m/>
    <m/>
    <n v="0"/>
    <n v="0"/>
    <m/>
    <m/>
    <m/>
    <m/>
    <m/>
    <m/>
    <m/>
    <m/>
    <m/>
    <m/>
    <m/>
    <m/>
    <m/>
    <m/>
    <m/>
    <m/>
    <m/>
    <m/>
    <m/>
    <m/>
    <m/>
    <m/>
    <m/>
    <m/>
    <m/>
    <m/>
    <m/>
    <m/>
    <m/>
    <m/>
    <m/>
    <m/>
    <m/>
    <m/>
    <m/>
    <m/>
    <m/>
    <m/>
    <m/>
    <m/>
    <m/>
    <m/>
    <m/>
    <m/>
    <m/>
    <m/>
    <m/>
    <m/>
    <m/>
    <m/>
    <m/>
    <m/>
    <m/>
    <m/>
    <m/>
    <m/>
    <m/>
    <m/>
    <m/>
    <m/>
    <m/>
    <m/>
    <m/>
    <m/>
    <m/>
    <m/>
    <m/>
    <m/>
    <m/>
    <m/>
    <n v="99.67"/>
    <n v="8.86"/>
    <n v="15.2"/>
    <m/>
    <m/>
    <m/>
    <m/>
    <m/>
    <m/>
    <m/>
    <m/>
    <m/>
    <m/>
    <m/>
    <m/>
  </r>
  <r>
    <x v="11"/>
    <s v="MRO"/>
    <x v="2"/>
    <n v="146"/>
    <n v="23"/>
    <m/>
    <n v="47.333333333333329"/>
    <n v="284"/>
    <n v="199"/>
    <n v="65"/>
    <m/>
    <n v="98.166666666666657"/>
    <n v="589"/>
    <n v="145.5"/>
    <n v="873"/>
    <n v="0.32531500572737687"/>
    <n v="0.5140845070422535"/>
    <n v="0.48591549295774655"/>
    <n v="0"/>
    <n v="50"/>
    <n v="0"/>
    <n v="168"/>
    <n v="468"/>
    <n v="-24"/>
    <n v="78"/>
    <n v="-4"/>
    <n v="-4.878048780487805E-2"/>
    <m/>
    <n v="-139"/>
    <n v="80"/>
    <n v="0"/>
    <n v="0"/>
    <n v="-59"/>
    <n v="0"/>
    <n v="21"/>
    <n v="0"/>
    <n v="0"/>
    <n v="21"/>
    <n v="0"/>
    <n v="0"/>
    <n v="0"/>
    <n v="0"/>
    <n v="0"/>
    <n v="67"/>
    <n v="11.166666666666666"/>
    <n v="127"/>
    <n v="0"/>
    <n v="271"/>
    <n v="1150"/>
    <n v="1548"/>
    <n v="5124"/>
    <n v="122.66666666666666"/>
    <n v="736"/>
    <n v="41.771739130434788"/>
    <n v="6.9619565217391308"/>
    <m/>
    <n v="816"/>
    <n v="451"/>
    <n v="0"/>
    <n v="54.30322271038338"/>
    <n v="1663"/>
    <n v="0"/>
    <n v="200.23560835336488"/>
    <n v="0"/>
    <m/>
    <n v="0"/>
    <n v="262"/>
    <n v="0"/>
    <n v="31.546439800710523"/>
    <n v="4306"/>
    <n v="11634"/>
    <n v="0.12040625878133787"/>
    <n v="1102.0852708644588"/>
    <n v="23.283491637981527"/>
    <n v="3.8805819396635877"/>
    <m/>
    <n v="2650.0852708644588"/>
    <n v="265.00852708644589"/>
    <n v="0.17119413894473248"/>
    <n v="5.5987716990094212"/>
    <n v="0.93312861650157009"/>
    <n v="32.70422535211268"/>
    <n v="5.450704225352113"/>
    <n v="65.055230768416322"/>
    <n v="70.654002467425741"/>
    <n v="97.759456120528995"/>
    <n v="10.842538461402718"/>
    <n v="11.775667077904288"/>
    <n v="16.29324268675483"/>
    <n v="4"/>
    <n v="6.5055230768416319"/>
    <n v="307.92809230383722"/>
    <n v="0.19891995626862868"/>
    <n v="829"/>
    <m/>
    <m/>
    <m/>
    <m/>
    <m/>
    <m/>
    <m/>
    <m/>
    <m/>
    <m/>
    <m/>
    <m/>
    <m/>
    <m/>
    <m/>
    <m/>
    <m/>
    <m/>
    <m/>
    <m/>
    <m/>
    <m/>
    <m/>
    <m/>
    <m/>
    <m/>
    <m/>
    <m/>
    <m/>
    <m/>
    <m/>
    <m/>
    <m/>
    <m/>
    <m/>
    <m/>
    <m/>
    <m/>
    <m/>
    <m/>
    <m/>
    <m/>
    <m/>
    <m/>
    <m/>
    <m/>
    <m/>
    <n v="61.95"/>
    <n v="3.94"/>
    <n v="8.99"/>
    <m/>
    <m/>
    <m/>
    <m/>
    <m/>
    <m/>
    <m/>
    <m/>
    <m/>
    <m/>
    <m/>
    <m/>
  </r>
  <r>
    <x v="11"/>
    <s v="MRO"/>
    <x v="3"/>
    <n v="133"/>
    <n v="25"/>
    <m/>
    <n v="47.166666666666671"/>
    <n v="283"/>
    <n v="181"/>
    <n v="73"/>
    <m/>
    <n v="103.16666666666667"/>
    <n v="619"/>
    <n v="150.33333333333334"/>
    <n v="902"/>
    <n v="0.3137472283813747"/>
    <n v="0.46996466431095407"/>
    <n v="0.53003533568904593"/>
    <n v="0"/>
    <n v="49"/>
    <n v="0"/>
    <n v="154"/>
    <n v="448"/>
    <n v="-20"/>
    <n v="74.666666666666671"/>
    <n v="-3.3333333333333286"/>
    <n v="-4.2735042735042673E-2"/>
    <m/>
    <n v="16"/>
    <n v="61"/>
    <n v="1"/>
    <n v="0"/>
    <n v="78"/>
    <n v="-3"/>
    <n v="30"/>
    <n v="1"/>
    <n v="0"/>
    <n v="28"/>
    <n v="0"/>
    <n v="0"/>
    <n v="0"/>
    <n v="0"/>
    <n v="0"/>
    <n v="246"/>
    <n v="41"/>
    <n v="400"/>
    <n v="1"/>
    <n v="520"/>
    <n v="855"/>
    <n v="1776"/>
    <n v="5534"/>
    <n v="127.83333333333333"/>
    <n v="767"/>
    <n v="43.290743155149933"/>
    <n v="7.2151238591916558"/>
    <m/>
    <n v="867"/>
    <n v="491"/>
    <n v="0"/>
    <n v="109.41359841863655"/>
    <n v="2155"/>
    <n v="0"/>
    <n v="480.2165062976818"/>
    <n v="0"/>
    <m/>
    <n v="0"/>
    <n v="375"/>
    <n v="0"/>
    <n v="83.564357244376183"/>
    <n v="5302"/>
    <n v="7465"/>
    <n v="0.22283828598500316"/>
    <n v="1540.1944619606945"/>
    <n v="32.654299546869844"/>
    <n v="5.4423832578116418"/>
    <m/>
    <n v="3316.1944619606948"/>
    <n v="331.61944619606948"/>
    <n v="0.18672266114643551"/>
    <n v="7.0308009794219668"/>
    <n v="1.1718001632369945"/>
    <n v="37.653710247349821"/>
    <n v="6.2756183745583041"/>
    <n v="75.945042702019776"/>
    <n v="82.975843681441745"/>
    <n v="113.5987529493696"/>
    <n v="12.657507117003298"/>
    <n v="13.829307280240293"/>
    <n v="18.933125491561604"/>
    <n v="4"/>
    <n v="7.5945042702019778"/>
    <n v="358.20745141119335"/>
    <n v="0.20169338480359986"/>
    <n v="657"/>
    <m/>
    <m/>
    <m/>
    <m/>
    <m/>
    <m/>
    <m/>
    <m/>
    <m/>
    <m/>
    <m/>
    <m/>
    <m/>
    <m/>
    <m/>
    <m/>
    <m/>
    <m/>
    <m/>
    <m/>
    <m/>
    <m/>
    <m/>
    <m/>
    <m/>
    <m/>
    <m/>
    <m/>
    <m/>
    <m/>
    <m/>
    <m/>
    <m/>
    <m/>
    <m/>
    <m/>
    <m/>
    <m/>
    <m/>
    <m/>
    <m/>
    <m/>
    <m/>
    <m/>
    <m/>
    <m/>
    <m/>
    <n v="79.48"/>
    <n v="4.37"/>
    <n v="11.83"/>
    <m/>
    <m/>
    <m/>
    <m/>
    <m/>
    <m/>
    <m/>
    <m/>
    <m/>
    <m/>
    <m/>
    <m/>
  </r>
  <r>
    <x v="11"/>
    <s v="MRO"/>
    <x v="4"/>
    <n v="119"/>
    <n v="24.1"/>
    <n v="2.9000000000000004"/>
    <n v="46.833333333333336"/>
    <n v="281"/>
    <n v="191"/>
    <n v="66"/>
    <n v="4.3499999999999996"/>
    <n v="102.18333333333332"/>
    <n v="613.1"/>
    <n v="149.01666666666665"/>
    <n v="894.1"/>
    <n v="0.31428251873392238"/>
    <n v="0.42348754448398579"/>
    <n v="0.51459074733096088"/>
    <n v="6.1921708185053388E-2"/>
    <n v="138"/>
    <n v="0"/>
    <n v="321"/>
    <n v="1149"/>
    <n v="701"/>
    <n v="191.5"/>
    <n v="116.83333333333333"/>
    <n v="1.5647321428571428"/>
    <m/>
    <n v="18"/>
    <n v="109"/>
    <n v="119"/>
    <n v="0"/>
    <n v="246"/>
    <n v="16"/>
    <n v="27"/>
    <n v="89"/>
    <n v="1"/>
    <n v="133"/>
    <n v="0"/>
    <n v="0"/>
    <n v="0"/>
    <n v="0"/>
    <n v="0"/>
    <n v="1044"/>
    <n v="174"/>
    <n v="3271"/>
    <n v="1782"/>
    <n v="782"/>
    <n v="889"/>
    <n v="6724"/>
    <n v="10048"/>
    <n v="226.16666666666666"/>
    <n v="1357"/>
    <n v="44.427413411938097"/>
    <n v="7.4045689019896832"/>
    <m/>
    <n v="1143"/>
    <n v="2614"/>
    <n v="0"/>
    <n v="484.54541865957884"/>
    <n v="2893"/>
    <n v="0"/>
    <n v="536.2623933367106"/>
    <n v="0"/>
    <m/>
    <n v="0"/>
    <n v="228"/>
    <n v="0"/>
    <n v="42.263334144752861"/>
    <n v="5635"/>
    <n v="9554"/>
    <n v="0.18536550063488097"/>
    <n v="2206.0711461410424"/>
    <n v="47.104721981659267"/>
    <n v="7.8507869969432109"/>
    <m/>
    <n v="8930.0711461410428"/>
    <n v="893.00711461410435"/>
    <n v="0.13280891056128857"/>
    <n v="19.067767571831407"/>
    <n v="3.1779612619719018"/>
    <n v="143.5729537366548"/>
    <n v="23.9288256227758"/>
    <n v="91.532135393597372"/>
    <n v="110.59990296542878"/>
    <n v="235.10508913025217"/>
    <n v="15.255355898932894"/>
    <n v="18.433317160904796"/>
    <n v="39.184181521708695"/>
    <n v="4"/>
    <n v="9.1532135393597365"/>
    <n v="428.67550076001436"/>
    <n v="6.3753048893517905E-2"/>
    <n v="704"/>
    <m/>
    <m/>
    <m/>
    <m/>
    <m/>
    <m/>
    <m/>
    <m/>
    <m/>
    <m/>
    <m/>
    <m/>
    <m/>
    <m/>
    <m/>
    <m/>
    <m/>
    <m/>
    <m/>
    <m/>
    <m/>
    <m/>
    <m/>
    <m/>
    <m/>
    <m/>
    <m/>
    <m/>
    <m/>
    <m/>
    <m/>
    <m/>
    <m/>
    <m/>
    <m/>
    <m/>
    <m/>
    <m/>
    <m/>
    <m/>
    <m/>
    <m/>
    <m/>
    <m/>
    <m/>
    <m/>
    <m/>
    <n v="94.88"/>
    <n v="4"/>
    <n v="15.12"/>
    <m/>
    <m/>
    <m/>
    <m/>
    <m/>
    <m/>
    <m/>
    <m/>
    <m/>
    <m/>
    <m/>
    <m/>
  </r>
  <r>
    <x v="11"/>
    <s v="MRO"/>
    <x v="5"/>
    <n v="129"/>
    <n v="32.498400000000004"/>
    <n v="6.5015999999999998"/>
    <n v="60.5"/>
    <n v="363"/>
    <n v="193"/>
    <n v="75.181600000000003"/>
    <n v="3.8184"/>
    <n v="111.16666666666666"/>
    <n v="667"/>
    <n v="171.66666666666666"/>
    <n v="1030"/>
    <n v="0.35242718446601939"/>
    <n v="0.35537190082644626"/>
    <n v="0.5371636363636364"/>
    <n v="0.10746446280991735"/>
    <n v="218"/>
    <n v="59"/>
    <n v="497"/>
    <n v="2159"/>
    <n v="1010"/>
    <n v="359.83333333333331"/>
    <n v="168.33333333333331"/>
    <n v="0.87902523933855514"/>
    <m/>
    <n v="-229"/>
    <n v="224"/>
    <n v="105"/>
    <n v="0"/>
    <n v="100"/>
    <n v="9"/>
    <n v="52"/>
    <n v="2"/>
    <n v="9"/>
    <n v="72"/>
    <n v="0"/>
    <n v="0"/>
    <n v="0"/>
    <n v="0"/>
    <n v="0"/>
    <n v="532"/>
    <n v="88.666666666666671"/>
    <n v="432"/>
    <n v="756"/>
    <n v="1587"/>
    <n v="2469"/>
    <n v="5244"/>
    <n v="13744"/>
    <n v="303.66666666666669"/>
    <n v="1822"/>
    <n v="45.260153677277714"/>
    <n v="7.5433589462129529"/>
    <m/>
    <n v="1247"/>
    <n v="2901"/>
    <n v="0"/>
    <n v="762.43544788371582"/>
    <n v="4974"/>
    <n v="0"/>
    <n v="1307.2574690705283"/>
    <n v="0"/>
    <m/>
    <n v="0"/>
    <n v="244"/>
    <n v="0"/>
    <n v="64.127628157058481"/>
    <n v="8004"/>
    <n v="10733"/>
    <n v="0.26281814818466592"/>
    <n v="3380.8205451113026"/>
    <n v="55.881331324153763"/>
    <n v="9.3135552206922938"/>
    <m/>
    <n v="8624.8205451113026"/>
    <n v="862.48205451113029"/>
    <n v="0.16447026211119953"/>
    <n v="14.255901727456699"/>
    <n v="2.3759836212427832"/>
    <n v="86.67768595041322"/>
    <n v="14.446280991735538"/>
    <n v="101.14148500143148"/>
    <n v="115.39738672888818"/>
    <n v="187.81917095184468"/>
    <n v="16.856914166905248"/>
    <n v="19.23289778814803"/>
    <n v="31.303195158640786"/>
    <n v="4"/>
    <n v="10.114148500143148"/>
    <n v="611.90598425866051"/>
    <n v="0.1166868772423075"/>
    <n v="617"/>
    <m/>
    <m/>
    <n v="129.64069999999998"/>
    <n v="31.389999999999997"/>
    <n v="4.13"/>
    <n v="99.551924999999997"/>
    <n v="29.108750000000001"/>
    <n v="3.42"/>
    <n v="120.564975"/>
    <n v="33.397500000000001"/>
    <n v="3.61"/>
    <n v="162.46879999999993"/>
    <n v="36.773749999999986"/>
    <n v="4.4180645161290322"/>
    <n v="512.2263999999999"/>
    <n v="130.66999999999999"/>
    <n v="3.92"/>
    <n v="736.77440000000001"/>
    <n v="7.5737500000000004"/>
    <n v="97.28"/>
    <n v="690.61650000000009"/>
    <n v="7.7562500000000005"/>
    <n v="89.04"/>
    <n v="803.8413250000001"/>
    <n v="8.9425000000000008"/>
    <n v="89.89"/>
    <n v="967.91977499999962"/>
    <n v="10.767499999999995"/>
    <n v="89.892711864406792"/>
    <n v="3199.152"/>
    <n v="35.04"/>
    <n v="91.3"/>
    <n v="32.927562500000001"/>
    <n v="0.63875000000000004"/>
    <n v="51.55"/>
    <n v="29.594199999999997"/>
    <n v="0.73"/>
    <n v="40.54"/>
    <n v="55.3048"/>
    <n v="1.46"/>
    <n v="37.880000000000003"/>
    <n v="41.046987499999993"/>
    <n v="1.1862499999999998"/>
    <n v="34.60230769230769"/>
    <n v="158.87354999999999"/>
    <n v="4.0149999999999997"/>
    <n v="39.57"/>
    <n v="94.05"/>
    <n v="2.75"/>
    <n v="10.98"/>
    <n v="2.41"/>
    <n v="2.2799999999999998"/>
    <n v="2.88"/>
    <n v="3.4"/>
    <n v="13.14"/>
    <n v="10.75"/>
    <n v="9.9600000000000009"/>
    <n v="10.08"/>
    <n v="102.98"/>
    <n v="93.29"/>
    <n v="92.17"/>
    <n v="88.01"/>
  </r>
  <r>
    <x v="11"/>
    <s v="MRO"/>
    <x v="6"/>
    <n v="114"/>
    <n v="46"/>
    <n v="9"/>
    <n v="74"/>
    <n v="444"/>
    <n v="197"/>
    <n v="66"/>
    <n v="4"/>
    <n v="102.83333333333334"/>
    <n v="617"/>
    <n v="176.83333333333334"/>
    <n v="1061"/>
    <n v="0.41847313854853913"/>
    <n v="0.25675675675675674"/>
    <n v="0.6216216216216216"/>
    <n v="0.12162162162162163"/>
    <n v="256"/>
    <n v="68"/>
    <n v="485"/>
    <n v="2429"/>
    <n v="270"/>
    <n v="404.83333333333331"/>
    <n v="45"/>
    <n v="0.12505789717461788"/>
    <m/>
    <n v="-4"/>
    <n v="163"/>
    <n v="13"/>
    <n v="0"/>
    <n v="172"/>
    <n v="33"/>
    <n v="112"/>
    <n v="12"/>
    <n v="0"/>
    <n v="157"/>
    <n v="13"/>
    <n v="25"/>
    <n v="2"/>
    <n v="0"/>
    <n v="40"/>
    <n v="1354"/>
    <n v="225.66666666666666"/>
    <n v="157"/>
    <n v="51"/>
    <n v="885"/>
    <n v="2876"/>
    <n v="3969"/>
    <n v="15937"/>
    <n v="488.33333333333337"/>
    <n v="2930"/>
    <n v="32.635494880546069"/>
    <n v="5.4392491467576791"/>
    <m/>
    <n v="1503"/>
    <n v="1503"/>
    <n v="0"/>
    <n v="509.42782953951047"/>
    <n v="3904"/>
    <n v="0"/>
    <n v="1323.2243822503319"/>
    <n v="0"/>
    <m/>
    <n v="0"/>
    <n v="319"/>
    <n v="0"/>
    <n v="108.12207426686882"/>
    <n v="8860"/>
    <n v="10939"/>
    <n v="0.33894067168297437"/>
    <n v="3443.7742860567114"/>
    <n v="46.537490352117722"/>
    <n v="7.7562483920196206"/>
    <m/>
    <n v="7412.7742860567114"/>
    <n v="741.27742860567116"/>
    <n v="0.18676679985025729"/>
    <n v="10.017262548725286"/>
    <n v="1.669543758120881"/>
    <n v="53.635135135135137"/>
    <n v="8.9391891891891895"/>
    <n v="79.172985232663791"/>
    <n v="89.190247781389075"/>
    <n v="132.80812036779892"/>
    <n v="13.1954975387773"/>
    <n v="14.86504129689818"/>
    <n v="22.134686727966489"/>
    <n v="4"/>
    <n v="7.9172985232663793"/>
    <n v="585.88009072171212"/>
    <n v="0.14761403142396376"/>
    <n v="793"/>
    <m/>
    <m/>
    <n v="119.7565"/>
    <n v="31.025000000000002"/>
    <n v="3.86"/>
    <n v="120.81865000000002"/>
    <n v="28.835000000000001"/>
    <n v="4.1900000000000004"/>
    <n v="95.125387500000002"/>
    <n v="27.10125"/>
    <n v="3.51"/>
    <n v="101.59866249999995"/>
    <n v="26.918749999999989"/>
    <n v="3.7742711864406777"/>
    <n v="437.29919999999998"/>
    <n v="113.88"/>
    <n v="3.84"/>
    <n v="1045.38555"/>
    <n v="11.04125"/>
    <n v="94.68"/>
    <n v="1077.890625"/>
    <n v="11.4975"/>
    <n v="93.75"/>
    <n v="1161.822375"/>
    <n v="11.4975"/>
    <n v="101.05"/>
    <n v="1046.6995500000003"/>
    <n v="11.953749999999998"/>
    <n v="87.562442748091641"/>
    <n v="4331.7981"/>
    <n v="45.99"/>
    <n v="94.19"/>
    <n v="64.750999999999991"/>
    <n v="1.825"/>
    <n v="35.479999999999997"/>
    <n v="63.677899999999994"/>
    <n v="2.0074999999999998"/>
    <n v="31.72"/>
    <n v="76.671899999999994"/>
    <n v="2.19"/>
    <n v="35.01"/>
    <n v="89.731599999999972"/>
    <n v="2.3724999999999996"/>
    <n v="37.821538461538459"/>
    <n v="294.83239999999995"/>
    <n v="8.3949999999999996"/>
    <n v="35.119999999999997"/>
    <n v="97.98"/>
    <n v="3.73"/>
    <n v="9.94"/>
    <n v="3.49"/>
    <n v="4.01"/>
    <n v="3.56"/>
    <n v="3.85"/>
    <n v="9.77"/>
    <n v="9.39"/>
    <n v="10.01"/>
    <n v="10.53"/>
    <n v="94.33"/>
    <n v="94.05"/>
    <n v="105.83"/>
    <n v="97.44"/>
  </r>
  <r>
    <x v="11"/>
    <s v="MRO"/>
    <x v="7"/>
    <n v="113"/>
    <n v="57"/>
    <n v="11"/>
    <n v="86.833333333333329"/>
    <n v="521"/>
    <n v="182"/>
    <n v="46"/>
    <n v="4"/>
    <n v="80.333333333333329"/>
    <n v="482"/>
    <n v="167.16666666666666"/>
    <n v="1003"/>
    <n v="0.51944167497507476"/>
    <n v="0.21689059500959693"/>
    <n v="0.65642994241842612"/>
    <n v="0.12667946257197699"/>
    <n v="340"/>
    <n v="93"/>
    <n v="569"/>
    <n v="3167"/>
    <n v="738"/>
    <n v="527.83333333333337"/>
    <n v="123.00000000000006"/>
    <n v="0.30382873610539329"/>
    <m/>
    <n v="-24"/>
    <n v="290"/>
    <n v="5"/>
    <n v="0"/>
    <n v="271"/>
    <n v="36"/>
    <n v="153"/>
    <n v="6"/>
    <n v="2"/>
    <n v="197"/>
    <n v="4"/>
    <n v="48"/>
    <n v="0"/>
    <n v="1"/>
    <n v="53"/>
    <n v="1771"/>
    <n v="295.16666666666663"/>
    <n v="202"/>
    <n v="26"/>
    <n v="1140"/>
    <n v="3532"/>
    <n v="4900"/>
    <n v="14113"/>
    <n v="609.5"/>
    <n v="3657"/>
    <n v="23.15504511894996"/>
    <n v="3.8591741864916598"/>
    <m/>
    <n v="1737"/>
    <n v="654"/>
    <n v="0"/>
    <n v="268.07800304861945"/>
    <n v="1679"/>
    <n v="0"/>
    <n v="688.23083657283189"/>
    <n v="0"/>
    <m/>
    <n v="0"/>
    <n v="309"/>
    <n v="0"/>
    <n v="126.66070786242112"/>
    <n v="7896"/>
    <n v="10006"/>
    <n v="0.40990520343825604"/>
    <n v="2819.9695474838727"/>
    <n v="32.475656976781643"/>
    <n v="5.4126094961302735"/>
    <m/>
    <n v="7719.9695474838727"/>
    <n v="771.99695474838734"/>
    <n v="0.15755039892824232"/>
    <n v="8.8905599395207755"/>
    <n v="1.4817599899201293"/>
    <n v="56.429942418426108"/>
    <n v="9.4049904030710181"/>
    <n v="55.630702095731607"/>
    <n v="64.521262035252377"/>
    <n v="112.06064451415772"/>
    <n v="9.2717836826219333"/>
    <n v="10.753543672542062"/>
    <n v="18.676774085692951"/>
    <n v="4"/>
    <n v="5.5630702095731603"/>
    <n v="483.05992986460274"/>
    <n v="9.8583659156041378E-2"/>
    <n v="610"/>
    <m/>
    <m/>
    <n v="144.54000000000002"/>
    <n v="27.375"/>
    <n v="5.28"/>
    <n v="134.13749999999999"/>
    <n v="26.827499999999997"/>
    <n v="5"/>
    <n v="121.7795125"/>
    <n v="28.92625"/>
    <n v="4.21"/>
    <n v="116.63848750000001"/>
    <n v="30.021250000000006"/>
    <n v="3.8851975683890574"/>
    <n v="517.09550000000002"/>
    <n v="113.15"/>
    <n v="4.57"/>
    <n v="1164.5544000000002"/>
    <n v="12.592500000000001"/>
    <n v="92.48"/>
    <n v="1322.0710624999999"/>
    <n v="13.778749999999999"/>
    <n v="95.95"/>
    <n v="1357.9733750000003"/>
    <n v="15.147500000000001"/>
    <n v="89.65"/>
    <n v="1040.6524124999994"/>
    <n v="15.786249999999999"/>
    <n v="65.921445086705162"/>
    <n v="4885.2512500000003"/>
    <n v="57.305"/>
    <n v="85.25"/>
    <n v="98.344687499999992"/>
    <n v="2.28125"/>
    <n v="43.11"/>
    <n v="85.738500000000002"/>
    <n v="2.4637500000000001"/>
    <n v="34.799999999999997"/>
    <n v="95.979487499999991"/>
    <n v="2.8287499999999999"/>
    <n v="33.93"/>
    <n v="73.688025000000067"/>
    <n v="3.0112500000000013"/>
    <n v="24.470909090909103"/>
    <n v="353.75070000000005"/>
    <n v="10.585000000000001"/>
    <n v="33.42"/>
    <n v="93.17"/>
    <n v="4.37"/>
    <n v="9.56"/>
    <n v="5.21"/>
    <n v="4.6100000000000003"/>
    <n v="3.96"/>
    <n v="3.8"/>
    <n v="11.19"/>
    <n v="10.15"/>
    <n v="9.83"/>
    <n v="7.41"/>
    <n v="98.68"/>
    <n v="103.35"/>
    <n v="97.87"/>
    <n v="73.209999999999994"/>
  </r>
  <r>
    <x v="11"/>
    <s v="MRO"/>
    <x v="8"/>
    <n v="128"/>
    <n v="62"/>
    <n v="14"/>
    <n v="97.333333333333329"/>
    <n v="584"/>
    <n v="158"/>
    <n v="29"/>
    <n v="4"/>
    <n v="59.333333333333329"/>
    <n v="356"/>
    <n v="156.66666666666666"/>
    <n v="940"/>
    <n v="0.62127659574468086"/>
    <n v="0.21917808219178081"/>
    <n v="0.63698630136986301"/>
    <n v="0.14383561643835618"/>
    <n v="253"/>
    <n v="80"/>
    <n v="511"/>
    <n v="2509"/>
    <n v="-658"/>
    <n v="418.16666666666669"/>
    <n v="-109.66666666666669"/>
    <n v="-0.20776760341016737"/>
    <m/>
    <n v="-191"/>
    <n v="394"/>
    <n v="1"/>
    <n v="0"/>
    <n v="204"/>
    <n v="-109"/>
    <n v="122"/>
    <n v="0"/>
    <n v="1"/>
    <n v="14"/>
    <n v="-31"/>
    <n v="57"/>
    <n v="0"/>
    <n v="0"/>
    <n v="26"/>
    <n v="444"/>
    <n v="74"/>
    <n v="61"/>
    <n v="4"/>
    <n v="959"/>
    <n v="1477"/>
    <n v="2501"/>
    <n v="11370"/>
    <n v="594.83333333333326"/>
    <n v="3569"/>
    <n v="19.114597926590083"/>
    <n v="3.1857663210983467"/>
    <s v="Includes costs incurred whether capitalized or expensed. "/>
    <n v="1306"/>
    <n v="590"/>
    <n v="0"/>
    <n v="324.80969880080454"/>
    <n v="171"/>
    <n v="0"/>
    <n v="94.139760160911152"/>
    <n v="0"/>
    <m/>
    <n v="0"/>
    <n v="358"/>
    <n v="0"/>
    <n v="197.08791893336954"/>
    <n v="4443"/>
    <n v="5014"/>
    <n v="0.55052491322170261"/>
    <n v="1922.0373778950852"/>
    <n v="19.746959361935808"/>
    <n v="3.2911598936559678"/>
    <m/>
    <n v="4423.0373778950852"/>
    <n v="442.30373778950855"/>
    <n v="0.17685075481387788"/>
    <n v="4.5442164841387864"/>
    <n v="0.75736941402313107"/>
    <n v="25.695205479452056"/>
    <n v="4.2825342465753424"/>
    <n v="38.861557288525887"/>
    <n v="43.405773772664674"/>
    <n v="64.556762767977943"/>
    <n v="6.4769262147543145"/>
    <n v="7.2342956287774456"/>
    <n v="10.759460461329656"/>
    <n v="4"/>
    <n v="3.8861557288525885"/>
    <n v="378.25249094165196"/>
    <n v="0.15124050017659016"/>
    <n v="437"/>
    <m/>
    <m/>
    <n v="97"/>
    <n v="32.225913621262464"/>
    <n v="3.01"/>
    <n v="90"/>
    <n v="32.608695652173914"/>
    <n v="2.76"/>
    <n v="85"/>
    <n v="30.90909090909091"/>
    <n v="2.75"/>
    <n v="60.382959999999969"/>
    <n v="29.212299817472701"/>
    <n v="2.0670388972210678"/>
    <n v="332.38295999999997"/>
    <n v="124.95599999999999"/>
    <n v="2.66"/>
    <n v="700.98249999999996"/>
    <n v="16.79"/>
    <n v="41.75"/>
    <n v="845.23779999999999"/>
    <n v="16.059999999999999"/>
    <n v="52.63"/>
    <n v="612.11827687499988"/>
    <n v="14.796187499999997"/>
    <n v="41.37"/>
    <n v="556.71392312500041"/>
    <n v="14.768812500000013"/>
    <n v="37.695239419215319"/>
    <n v="2715.0525000000002"/>
    <n v="62.415000000000006"/>
    <n v="43.5"/>
    <n v="51.352762499999997"/>
    <n v="3.5587499999999999"/>
    <n v="14.43"/>
    <n v="49.867212499999994"/>
    <n v="3.3762499999999998"/>
    <n v="14.77"/>
    <n v="50.646816000000008"/>
    <n v="4.2632000000000003"/>
    <n v="11.88"/>
    <n v="38.455158999999995"/>
    <n v="3.0367999999999986"/>
    <n v="12.663052884615389"/>
    <n v="190.32194999999999"/>
    <n v="14.234999999999999"/>
    <n v="13.37"/>
    <n v="48.66"/>
    <n v="2.62"/>
    <n v="4.97"/>
    <n v="2.9"/>
    <n v="2.75"/>
    <n v="2.76"/>
    <n v="2.12"/>
    <n v="5.43"/>
    <n v="5.2"/>
    <n v="4.68"/>
    <n v="4.5999999999999996"/>
    <n v="48.49"/>
    <n v="57.85"/>
    <n v="46.64"/>
    <n v="41.94"/>
  </r>
  <r>
    <x v="11"/>
    <s v="MRO"/>
    <x v="9"/>
    <n v="115"/>
    <n v="48"/>
    <n v="14"/>
    <n v="81.166666666666671"/>
    <n v="487"/>
    <n v="163"/>
    <n v="13"/>
    <n v="4"/>
    <n v="44.166666666666671"/>
    <n v="265"/>
    <n v="125.33333333333334"/>
    <n v="752"/>
    <n v="0.64760638297872342"/>
    <n v="0.23613963039014374"/>
    <n v="0.59137577002053388"/>
    <n v="0.17248459958932238"/>
    <n v="325"/>
    <n v="92"/>
    <n v="640"/>
    <n v="3142"/>
    <n v="633"/>
    <n v="523.66666666666663"/>
    <n v="105.49999999999994"/>
    <n v="0.25229174970107598"/>
    <m/>
    <n v="-146"/>
    <n v="362"/>
    <n v="61"/>
    <n v="0"/>
    <n v="277"/>
    <n v="-97"/>
    <n v="189"/>
    <n v="12"/>
    <n v="0"/>
    <n v="104"/>
    <n v="-51"/>
    <n v="54"/>
    <n v="12"/>
    <n v="0"/>
    <n v="15"/>
    <n v="991"/>
    <n v="165.16666666666666"/>
    <n v="642"/>
    <n v="276"/>
    <n v="525"/>
    <n v="456"/>
    <n v="1899"/>
    <n v="9300"/>
    <n v="534.33333333333326"/>
    <n v="3206"/>
    <n v="17.404865876481601"/>
    <n v="2.9008109794135994"/>
    <m/>
    <n v="973"/>
    <n v="484"/>
    <m/>
    <n v="289.12878455072189"/>
    <n v="84"/>
    <n v="0"/>
    <n v="50.179375831117021"/>
    <n v="0"/>
    <m/>
    <n v="0"/>
    <n v="402"/>
    <n v="0"/>
    <n v="240.14415576320289"/>
    <n v="3306"/>
    <n v="3584"/>
    <n v="0.59737352179901215"/>
    <n v="1552.4523161450418"/>
    <n v="19.126722580842404"/>
    <n v="3.1877870968070674"/>
    <m/>
    <n v="3451.4523161450416"/>
    <n v="345.14523161450416"/>
    <n v="0.18175104350421492"/>
    <n v="4.2523026482279773"/>
    <n v="0.70871710803799626"/>
    <n v="23.396303901437371"/>
    <n v="3.8993839835728954"/>
    <n v="36.531588457324006"/>
    <n v="40.78389110555198"/>
    <n v="59.927892358761376"/>
    <n v="6.0885980762206664"/>
    <n v="6.7973151842586628"/>
    <n v="9.9879820597935627"/>
    <n v="4"/>
    <n v="3.6531588457324005"/>
    <n v="296.5147263119465"/>
    <n v="0.15614256256553266"/>
    <n v="249"/>
    <m/>
    <m/>
    <n v="57"/>
    <n v="28.217821782178216"/>
    <n v="2.02"/>
    <n v="55"/>
    <n v="28.061224489795919"/>
    <n v="1.96"/>
    <n v="78"/>
    <n v="29.213483146067418"/>
    <n v="2.67"/>
    <n v="82.771799999999985"/>
    <n v="29.117470581958443"/>
    <n v="2.8426851077952646"/>
    <n v="272.77179999999998"/>
    <n v="114.61"/>
    <n v="2.38"/>
    <n v="366.68944812499996"/>
    <n v="12.998562499999998"/>
    <n v="28.21"/>
    <n v="489.95857124999998"/>
    <n v="12.017624999999999"/>
    <n v="40.770000000000003"/>
    <n v="464.554845"/>
    <n v="11.2347"/>
    <n v="41.35"/>
    <n v="523.02168562500037"/>
    <n v="11.564112500000011"/>
    <n v="45.228000473447473"/>
    <n v="1844.2245500000001"/>
    <n v="47.815000000000005"/>
    <n v="38.57"/>
    <n v="33.713224999999994"/>
    <n v="4.1518749999999995"/>
    <n v="8.1199999999999992"/>
    <n v="54.612869499999995"/>
    <n v="3.6801124999999999"/>
    <n v="14.84"/>
    <n v="49.617406499999987"/>
    <n v="3.9885374999999992"/>
    <n v="12.44"/>
    <n v="54.04649900000004"/>
    <n v="2.7794750000000006"/>
    <n v="19.444858831254113"/>
    <n v="191.99"/>
    <n v="14.6"/>
    <n v="13.15"/>
    <n v="43.2"/>
    <n v="2.52"/>
    <n v="5.04"/>
    <n v="1.99"/>
    <n v="2.15"/>
    <n v="2.88"/>
    <n v="3.04"/>
    <n v="4.0199999999999996"/>
    <n v="5"/>
    <n v="5.04"/>
    <n v="6.05"/>
    <n v="33.35"/>
    <n v="45.46"/>
    <n v="44.85"/>
    <n v="49.14"/>
  </r>
  <r>
    <x v="12"/>
    <s v="OXY"/>
    <x v="0"/>
    <n v="216"/>
    <n v="95"/>
    <n v="0"/>
    <n v="131"/>
    <n v="786"/>
    <n v="45"/>
    <n v="69"/>
    <n v="0"/>
    <n v="76.5"/>
    <n v="459"/>
    <n v="207.5"/>
    <n v="1245"/>
    <n v="0.63132530120481922"/>
    <n v="0.27480916030534353"/>
    <n v="0.72519083969465647"/>
    <n v="0"/>
    <n v="301"/>
    <n v="0"/>
    <n v="675"/>
    <n v="2481"/>
    <m/>
    <n v="413.5"/>
    <m/>
    <m/>
    <m/>
    <n v="35"/>
    <n v="5"/>
    <n v="18"/>
    <n v="406"/>
    <n v="464"/>
    <n v="-20"/>
    <n v="1"/>
    <n v="47"/>
    <n v="114"/>
    <n v="142"/>
    <n v="0"/>
    <n v="0"/>
    <n v="0"/>
    <n v="0"/>
    <n v="0"/>
    <n v="1316"/>
    <n v="219.33333333333331"/>
    <n v="167"/>
    <n v="626"/>
    <n v="39"/>
    <n v="1268"/>
    <n v="2100"/>
    <m/>
    <m/>
    <m/>
    <m/>
    <m/>
    <m/>
    <m/>
    <m/>
    <m/>
    <m/>
    <m/>
    <m/>
    <m/>
    <m/>
    <m/>
    <m/>
    <m/>
    <m/>
    <m/>
    <n v="0"/>
    <n v="0"/>
    <m/>
    <m/>
    <m/>
    <m/>
    <m/>
    <m/>
    <m/>
    <n v="0"/>
    <m/>
    <m/>
    <m/>
    <m/>
    <m/>
    <m/>
    <m/>
    <m/>
    <m/>
    <m/>
    <n v="4"/>
    <m/>
    <m/>
    <m/>
    <m/>
    <m/>
    <m/>
    <m/>
    <m/>
    <m/>
    <m/>
    <m/>
    <m/>
    <m/>
    <m/>
    <m/>
    <m/>
    <m/>
    <m/>
    <m/>
    <m/>
    <m/>
    <m/>
    <m/>
    <m/>
    <m/>
    <m/>
    <m/>
    <m/>
    <m/>
    <m/>
    <m/>
    <m/>
    <m/>
    <m/>
    <m/>
    <m/>
    <m/>
    <m/>
    <m/>
    <m/>
    <m/>
    <m/>
    <m/>
    <m/>
    <m/>
    <m/>
    <m/>
    <m/>
    <m/>
    <m/>
    <m/>
    <n v="72.34"/>
    <n v="6.97"/>
    <n v="12.91"/>
    <m/>
    <m/>
    <m/>
    <m/>
    <m/>
    <m/>
    <m/>
    <m/>
    <m/>
    <m/>
    <m/>
    <m/>
  </r>
  <r>
    <x v="12"/>
    <s v="OXY"/>
    <x v="1"/>
    <n v="215"/>
    <n v="96"/>
    <n v="0"/>
    <n v="131.83333333333334"/>
    <n v="791"/>
    <n v="92"/>
    <n v="75"/>
    <n v="0"/>
    <n v="90.333333333333329"/>
    <n v="542"/>
    <n v="222.16666666666669"/>
    <n v="1333"/>
    <n v="0.5933983495873969"/>
    <n v="0.27180783817951959"/>
    <n v="0.7281921618204803"/>
    <n v="0"/>
    <n v="338"/>
    <n v="0"/>
    <n v="1287"/>
    <n v="3315"/>
    <n v="834"/>
    <n v="552.5"/>
    <n v="139"/>
    <n v="0.33615477629987905"/>
    <m/>
    <n v="-490"/>
    <n v="76"/>
    <n v="832"/>
    <n v="281"/>
    <n v="699"/>
    <n v="-243"/>
    <n v="11"/>
    <n v="71"/>
    <n v="99"/>
    <n v="-62"/>
    <n v="0"/>
    <n v="0"/>
    <n v="0"/>
    <n v="0"/>
    <n v="0"/>
    <n v="327"/>
    <n v="54.5"/>
    <n v="1362"/>
    <n v="1819"/>
    <n v="130"/>
    <n v="1740"/>
    <n v="5051"/>
    <m/>
    <m/>
    <m/>
    <m/>
    <m/>
    <m/>
    <m/>
    <m/>
    <m/>
    <m/>
    <m/>
    <m/>
    <m/>
    <m/>
    <m/>
    <m/>
    <m/>
    <m/>
    <m/>
    <n v="0"/>
    <n v="0"/>
    <m/>
    <m/>
    <m/>
    <m/>
    <m/>
    <m/>
    <m/>
    <n v="0"/>
    <m/>
    <m/>
    <m/>
    <m/>
    <m/>
    <m/>
    <m/>
    <m/>
    <m/>
    <m/>
    <n v="4"/>
    <m/>
    <m/>
    <m/>
    <m/>
    <m/>
    <m/>
    <m/>
    <m/>
    <m/>
    <m/>
    <m/>
    <m/>
    <m/>
    <m/>
    <m/>
    <m/>
    <m/>
    <m/>
    <m/>
    <m/>
    <m/>
    <m/>
    <m/>
    <m/>
    <m/>
    <m/>
    <m/>
    <m/>
    <m/>
    <m/>
    <m/>
    <m/>
    <m/>
    <m/>
    <m/>
    <m/>
    <m/>
    <m/>
    <m/>
    <m/>
    <m/>
    <m/>
    <m/>
    <m/>
    <m/>
    <m/>
    <m/>
    <m/>
    <m/>
    <m/>
    <m/>
    <n v="99.67"/>
    <n v="8.86"/>
    <n v="15.2"/>
    <m/>
    <m/>
    <m/>
    <m/>
    <m/>
    <m/>
    <m/>
    <m/>
    <m/>
    <m/>
    <m/>
    <m/>
  </r>
  <r>
    <x v="12"/>
    <s v="OXY"/>
    <x v="2"/>
    <n v="232"/>
    <n v="81"/>
    <n v="18"/>
    <n v="137.66666666666666"/>
    <n v="826"/>
    <n v="106"/>
    <n v="65"/>
    <n v="4"/>
    <n v="86.666666666666671"/>
    <n v="520"/>
    <n v="224.33333333333331"/>
    <n v="1346"/>
    <n v="0.61367013372956913"/>
    <n v="0.28087167070217917"/>
    <n v="0.58837772397094434"/>
    <n v="0.13075060532687652"/>
    <n v="320"/>
    <n v="0"/>
    <n v="868"/>
    <n v="2788"/>
    <n v="-527"/>
    <n v="464.66666666666663"/>
    <n v="-87.833333333333371"/>
    <n v="-0.15897435897435905"/>
    <m/>
    <n v="-688"/>
    <n v="362"/>
    <n v="67"/>
    <n v="137"/>
    <n v="-122"/>
    <n v="35"/>
    <n v="16"/>
    <n v="13"/>
    <n v="47"/>
    <n v="111"/>
    <n v="23"/>
    <n v="13"/>
    <n v="2"/>
    <n v="9"/>
    <n v="47"/>
    <n v="826"/>
    <n v="137.66666666666669"/>
    <n v="100"/>
    <n v="569"/>
    <n v="131"/>
    <n v="1223"/>
    <n v="2023"/>
    <n v="9174"/>
    <n v="411.5"/>
    <n v="2469"/>
    <n v="22.294046172539488"/>
    <n v="3.7156743620899149"/>
    <m/>
    <n v="1841"/>
    <n v="1300"/>
    <n v="0"/>
    <n v="730.36697321392705"/>
    <n v="1400"/>
    <n v="0"/>
    <n v="786.54904807653691"/>
    <n v="0"/>
    <n v="399"/>
    <n v="399"/>
    <n v="164"/>
    <n v="0"/>
    <n v="92.138602774680038"/>
    <n v="11009"/>
    <n v="12025"/>
    <n v="0.56182074862609777"/>
    <n v="3849.0546240651438"/>
    <n v="27.959234557373929"/>
    <n v="4.6598724262289872"/>
    <m/>
    <n v="5872.0546240651438"/>
    <n v="587.20546240651436"/>
    <n v="0.29026468729931504"/>
    <n v="4.2654149811611219"/>
    <n v="0.71090249686018692"/>
    <n v="14.694915254237289"/>
    <n v="2.4491525423728815"/>
    <n v="50.253280729913413"/>
    <n v="54.518695711074535"/>
    <n v="64.948195984150701"/>
    <n v="8.3755467883189016"/>
    <n v="9.0864492851790892"/>
    <n v="10.824699330691782"/>
    <n v="4"/>
    <n v="5.025328072991341"/>
    <n v="691.82016471514123"/>
    <n v="0.34197734291405896"/>
    <n v="51"/>
    <m/>
    <m/>
    <m/>
    <m/>
    <m/>
    <m/>
    <m/>
    <m/>
    <m/>
    <m/>
    <m/>
    <m/>
    <m/>
    <m/>
    <m/>
    <m/>
    <m/>
    <m/>
    <m/>
    <m/>
    <m/>
    <m/>
    <m/>
    <m/>
    <m/>
    <m/>
    <m/>
    <m/>
    <m/>
    <m/>
    <m/>
    <m/>
    <m/>
    <m/>
    <m/>
    <m/>
    <m/>
    <m/>
    <m/>
    <m/>
    <m/>
    <m/>
    <m/>
    <m/>
    <m/>
    <m/>
    <m/>
    <n v="61.95"/>
    <n v="3.94"/>
    <n v="8.99"/>
    <m/>
    <m/>
    <m/>
    <m/>
    <m/>
    <m/>
    <m/>
    <m/>
    <m/>
    <m/>
    <m/>
    <m/>
  </r>
  <r>
    <x v="12"/>
    <s v="OXY"/>
    <x v="3"/>
    <n v="247"/>
    <n v="80"/>
    <n v="19"/>
    <n v="140.16666666666666"/>
    <n v="841"/>
    <n v="184"/>
    <n v="83"/>
    <n v="5"/>
    <n v="118.66666666666667"/>
    <n v="712"/>
    <n v="258.83333333333331"/>
    <n v="1553"/>
    <n v="0.54153251770766264"/>
    <n v="0.29369797859690844"/>
    <n v="0.57074910820451852"/>
    <n v="0.13555291319857313"/>
    <n v="408"/>
    <n v="0"/>
    <n v="1027"/>
    <n v="3475"/>
    <n v="687"/>
    <n v="579.16666666666663"/>
    <n v="114.5"/>
    <n v="0.24641319942611192"/>
    <m/>
    <n v="-55"/>
    <n v="7"/>
    <n v="186"/>
    <n v="344"/>
    <n v="482"/>
    <n v="0"/>
    <n v="1"/>
    <n v="72"/>
    <n v="82"/>
    <n v="155"/>
    <n v="8"/>
    <n v="0"/>
    <n v="11"/>
    <n v="16"/>
    <n v="35"/>
    <n v="1622"/>
    <n v="270.33333333333331"/>
    <n v="2290"/>
    <n v="2084"/>
    <n v="177"/>
    <n v="1674"/>
    <n v="6225"/>
    <n v="13299"/>
    <n v="462.5"/>
    <n v="2775"/>
    <n v="28.754594594594593"/>
    <n v="4.7924324324324328"/>
    <m/>
    <n v="2189"/>
    <n v="1396"/>
    <n v="0"/>
    <n v="685.35986784919351"/>
    <n v="2400"/>
    <n v="0"/>
    <n v="1178.2691137808486"/>
    <n v="0"/>
    <n v="454"/>
    <n v="454"/>
    <n v="161"/>
    <n v="0"/>
    <n v="79.042219716131925"/>
    <n v="14276"/>
    <n v="15747"/>
    <n v="0.49094546407535355"/>
    <n v="4585.6712013461738"/>
    <n v="32.715846858593395"/>
    <n v="5.4526411430988988"/>
    <m/>
    <n v="10810.671201346173"/>
    <n v="1081.0671201346174"/>
    <n v="0.17366540082483814"/>
    <n v="7.7127261840757493"/>
    <n v="1.2854543640126248"/>
    <n v="44.411414982164096"/>
    <n v="7.4019024970273488"/>
    <n v="61.470441453187988"/>
    <n v="69.183167637263736"/>
    <n v="105.88185643535209"/>
    <n v="10.245073575531332"/>
    <n v="11.530527939543957"/>
    <n v="17.64697607255868"/>
    <n v="4"/>
    <n v="6.1470441453187989"/>
    <n v="861.61068770218492"/>
    <n v="0.13841135545416625"/>
    <n v="73"/>
    <m/>
    <m/>
    <m/>
    <m/>
    <m/>
    <m/>
    <m/>
    <m/>
    <m/>
    <m/>
    <m/>
    <m/>
    <m/>
    <m/>
    <m/>
    <m/>
    <m/>
    <m/>
    <m/>
    <m/>
    <m/>
    <m/>
    <m/>
    <m/>
    <m/>
    <m/>
    <m/>
    <m/>
    <m/>
    <m/>
    <m/>
    <m/>
    <m/>
    <m/>
    <m/>
    <m/>
    <m/>
    <m/>
    <m/>
    <m/>
    <m/>
    <m/>
    <m/>
    <m/>
    <m/>
    <m/>
    <m/>
    <n v="79.48"/>
    <n v="4.37"/>
    <n v="11.83"/>
    <m/>
    <m/>
    <m/>
    <m/>
    <m/>
    <m/>
    <m/>
    <m/>
    <m/>
    <m/>
    <m/>
    <m/>
  </r>
  <r>
    <x v="12"/>
    <s v="OXY"/>
    <x v="4"/>
    <n v="285"/>
    <n v="84"/>
    <n v="25"/>
    <n v="156.5"/>
    <n v="939"/>
    <n v="162"/>
    <n v="80"/>
    <n v="4"/>
    <n v="111"/>
    <n v="666"/>
    <n v="267.5"/>
    <n v="1605"/>
    <n v="0.58504672897196264"/>
    <n v="0.30351437699680511"/>
    <n v="0.53674121405750796"/>
    <n v="0.15974440894568689"/>
    <n v="239"/>
    <n v="35"/>
    <n v="726"/>
    <n v="2370"/>
    <n v="-1105"/>
    <n v="395"/>
    <n v="-184.16666666666663"/>
    <n v="-0.3179856115107913"/>
    <m/>
    <n v="-369"/>
    <n v="35"/>
    <n v="728"/>
    <n v="222"/>
    <n v="616"/>
    <n v="-71"/>
    <n v="8"/>
    <n v="78"/>
    <n v="135"/>
    <n v="150"/>
    <n v="0"/>
    <n v="1"/>
    <n v="2"/>
    <n v="10"/>
    <n v="13"/>
    <n v="1594"/>
    <n v="265.66666666666669"/>
    <n v="1311"/>
    <n v="3185"/>
    <n v="400"/>
    <n v="4100"/>
    <n v="8996"/>
    <n v="17244"/>
    <n v="673.66666666666674"/>
    <n v="4042"/>
    <n v="25.597229094507668"/>
    <n v="4.2662048490846116"/>
    <m/>
    <n v="2922"/>
    <n v="1523"/>
    <n v="0"/>
    <n v="826.12559108644734"/>
    <n v="2900"/>
    <n v="0"/>
    <n v="1573.0559515106352"/>
    <n v="0"/>
    <n v="567"/>
    <n v="567"/>
    <n v="315"/>
    <n v="0"/>
    <n v="170.86642231925865"/>
    <n v="18419"/>
    <n v="19866"/>
    <n v="0.54243308672780521"/>
    <n v="6059.0479649163408"/>
    <n v="38.71596143716512"/>
    <n v="6.4526602395275194"/>
    <s v="LOE = Production costs + Other Operating expenses + Exploration expnse from costs incurred - Exploration expense"/>
    <n v="15055.047964916341"/>
    <n v="1505.5047964916341"/>
    <n v="0.16735268969449024"/>
    <n v="9.6198389552181087"/>
    <n v="1.6033064925363516"/>
    <n v="57.482428115015978"/>
    <n v="9.5804046858359957"/>
    <n v="64.313190531672788"/>
    <n v="73.933029486890902"/>
    <n v="121.79561864668877"/>
    <n v="10.71886508861213"/>
    <n v="12.322171581148481"/>
    <n v="20.299269774448128"/>
    <n v="4"/>
    <n v="6.4313190531672788"/>
    <n v="1006.5014318206792"/>
    <n v="0.1118832182993196"/>
    <n v="189"/>
    <m/>
    <m/>
    <m/>
    <m/>
    <m/>
    <m/>
    <m/>
    <m/>
    <m/>
    <m/>
    <m/>
    <m/>
    <m/>
    <m/>
    <m/>
    <m/>
    <m/>
    <m/>
    <m/>
    <m/>
    <m/>
    <m/>
    <m/>
    <m/>
    <m/>
    <m/>
    <m/>
    <m/>
    <m/>
    <m/>
    <m/>
    <m/>
    <m/>
    <m/>
    <m/>
    <m/>
    <m/>
    <m/>
    <m/>
    <m/>
    <m/>
    <m/>
    <m/>
    <m/>
    <m/>
    <m/>
    <m/>
    <n v="94.88"/>
    <n v="4"/>
    <n v="15.12"/>
    <m/>
    <m/>
    <m/>
    <m/>
    <m/>
    <m/>
    <m/>
    <m/>
    <m/>
    <m/>
    <m/>
    <m/>
  </r>
  <r>
    <x v="12"/>
    <s v="OXY"/>
    <x v="5"/>
    <n v="300"/>
    <n v="93"/>
    <n v="27"/>
    <n v="170"/>
    <n v="1020"/>
    <n v="170"/>
    <n v="78"/>
    <n v="3"/>
    <n v="109.33333333333333"/>
    <n v="656"/>
    <n v="279.33333333333331"/>
    <n v="1676"/>
    <n v="0.60859188544152742"/>
    <n v="0.29411764705882354"/>
    <n v="0.54705882352941182"/>
    <n v="0.1588235294117647"/>
    <n v="266"/>
    <n v="32"/>
    <n v="501"/>
    <n v="2289"/>
    <n v="-81"/>
    <n v="381.5"/>
    <n v="-13.5"/>
    <n v="-3.4177215189873419E-2"/>
    <m/>
    <n v="-748"/>
    <n v="19"/>
    <n v="236"/>
    <n v="317"/>
    <n v="-176"/>
    <n v="-70"/>
    <n v="7"/>
    <n v="54"/>
    <n v="143"/>
    <n v="134"/>
    <n v="1"/>
    <n v="0"/>
    <n v="1"/>
    <n v="16"/>
    <n v="18"/>
    <n v="736"/>
    <n v="122.66666666666667"/>
    <n v="573"/>
    <n v="1333"/>
    <n v="379"/>
    <n v="3271"/>
    <n v="5556"/>
    <n v="20777"/>
    <n v="658.66666666666663"/>
    <n v="3952"/>
    <n v="31.544028340080974"/>
    <n v="5.2573380566801617"/>
    <m/>
    <n v="1710"/>
    <n v="1366"/>
    <n v="0"/>
    <n v="771.45929850568382"/>
    <n v="2300"/>
    <n v="0"/>
    <n v="1298.9431819641823"/>
    <n v="0"/>
    <n v="644"/>
    <n v="644"/>
    <n v="290"/>
    <n v="0"/>
    <n v="163.77979250852732"/>
    <n v="14997"/>
    <n v="16161"/>
    <n v="0.56475790520181834"/>
    <n v="4588.1822729783935"/>
    <n v="26.989307488108196"/>
    <n v="4.4982179146846999"/>
    <s v="LOE = Production costs + Other Operating expenses + Exploration expnse from costs incurred - Exploration expense"/>
    <n v="10144.182272978393"/>
    <n v="1014.4182272978393"/>
    <n v="0.18258067445965429"/>
    <n v="5.9671660429284668"/>
    <n v="0.99452767382141105"/>
    <n v="32.682352941176468"/>
    <n v="5.447058823529412"/>
    <n v="58.533335828189166"/>
    <n v="64.500501871117635"/>
    <n v="91.215688769365642"/>
    <n v="9.7555559713648616"/>
    <n v="10.750083645186272"/>
    <n v="15.202614794894274"/>
    <n v="4"/>
    <n v="5.8533335828189168"/>
    <n v="995.06670907921591"/>
    <n v="0.17909767981987326"/>
    <n v="124"/>
    <m/>
    <m/>
    <n v="216.13109999999998"/>
    <n v="76.102499999999992"/>
    <n v="2.84"/>
    <n v="159.24493749999996"/>
    <n v="76.193749999999994"/>
    <n v="2.09"/>
    <n v="182.6241"/>
    <n v="73.638750000000002"/>
    <n v="2.48"/>
    <n v="-46.56213749999992"/>
    <n v="-19.709999999999994"/>
    <n v="2.3623611111111078"/>
    <n v="511.43799999999999"/>
    <n v="206.22499999999999"/>
    <n v="2.48"/>
    <n v="2304.8728000000001"/>
    <n v="22.265000000000001"/>
    <n v="103.52"/>
    <n v="2098.0802250000002"/>
    <n v="22.721250000000001"/>
    <n v="92.34"/>
    <n v="2173.5959874999999"/>
    <n v="23.633749999999999"/>
    <n v="91.97"/>
    <n v="1637.3197374999995"/>
    <n v="24.454999999999998"/>
    <n v="66.952350746268635"/>
    <n v="8213.8687499999996"/>
    <n v="93.075000000000003"/>
    <n v="88.25"/>
    <n v="354.45150000000001"/>
    <n v="6.5699999999999994"/>
    <n v="53.95"/>
    <n v="291.4296875"/>
    <n v="6.6612499999999999"/>
    <n v="43.75"/>
    <n v="281.30914999999993"/>
    <n v="6.7524999999999995"/>
    <n v="41.66"/>
    <n v="-26.603937499999802"/>
    <n v="0.45625000000000249"/>
    <n v="-58.309999999999249"/>
    <n v="900.58640000000014"/>
    <n v="20.440000000000001"/>
    <n v="44.06"/>
    <n v="94.05"/>
    <n v="2.75"/>
    <n v="10.98"/>
    <n v="2.41"/>
    <n v="2.2799999999999998"/>
    <n v="2.88"/>
    <n v="3.4"/>
    <n v="13.14"/>
    <n v="10.75"/>
    <n v="9.9600000000000009"/>
    <n v="10.08"/>
    <n v="102.98"/>
    <n v="93.29"/>
    <n v="92.17"/>
    <n v="88.01"/>
  </r>
  <r>
    <x v="12"/>
    <s v="OXY"/>
    <x v="6"/>
    <n v="289"/>
    <n v="97"/>
    <n v="28"/>
    <n v="173.16666666666666"/>
    <n v="1039"/>
    <n v="163"/>
    <n v="75"/>
    <n v="3"/>
    <n v="105.16666666666667"/>
    <n v="631"/>
    <n v="278.33333333333331"/>
    <n v="1670"/>
    <n v="0.6221556886227545"/>
    <n v="0.27815206929740133"/>
    <n v="0.56015399422521661"/>
    <n v="0.16169393647738212"/>
    <n v="309"/>
    <n v="53"/>
    <n v="517"/>
    <n v="2689"/>
    <n v="400"/>
    <n v="448.16666666666669"/>
    <n v="66.666666666666686"/>
    <n v="0.17474879860200965"/>
    <m/>
    <n v="-94"/>
    <n v="14"/>
    <n v="34"/>
    <n v="303"/>
    <n v="257"/>
    <n v="-44"/>
    <n v="4"/>
    <n v="25"/>
    <n v="214"/>
    <n v="199"/>
    <n v="66"/>
    <n v="0"/>
    <n v="7"/>
    <n v="13"/>
    <n v="86"/>
    <n v="1967"/>
    <n v="327.83333333333337"/>
    <n v="151"/>
    <n v="343"/>
    <n v="293"/>
    <n v="2659"/>
    <n v="3446"/>
    <n v="17998"/>
    <n v="716.16666666666674"/>
    <n v="4297"/>
    <n v="25.131021643006747"/>
    <n v="4.1885036071677915"/>
    <m/>
    <n v="2039"/>
    <n v="1544"/>
    <n v="0"/>
    <n v="891.1054717386379"/>
    <n v="1800"/>
    <n v="0"/>
    <n v="1038.8535292289821"/>
    <n v="0"/>
    <n v="693"/>
    <n v="693"/>
    <n v="375"/>
    <n v="0"/>
    <n v="216.42781858937124"/>
    <n v="15052"/>
    <n v="16226"/>
    <n v="0.57714084957165668"/>
    <n v="4878.3868195569912"/>
    <n v="28.171627446912368"/>
    <n v="4.695271241152061"/>
    <s v="LOE = Production costs + Other Operating expenses + Exploration expnse from costs incurred - Exploration expense"/>
    <n v="8324.3868195569921"/>
    <n v="832.43868195569928"/>
    <n v="0.24156665175731262"/>
    <n v="4.8071531200521616"/>
    <n v="0.80119218667536019"/>
    <n v="19.899903753609241"/>
    <n v="3.31665062560154"/>
    <n v="53.302649089919115"/>
    <n v="58.109802209971278"/>
    <n v="73.202552843528352"/>
    <n v="8.8837748483198524"/>
    <n v="9.6849670349952124"/>
    <n v="12.200425473921392"/>
    <n v="4"/>
    <n v="5.3302649089919116"/>
    <n v="923.02420674043265"/>
    <n v="0.26785380346501236"/>
    <n v="140"/>
    <m/>
    <m/>
    <n v="230.17995000000002"/>
    <n v="74.733750000000001"/>
    <n v="3.08"/>
    <n v="277.11712499999999"/>
    <n v="72.543750000000003"/>
    <n v="3.82"/>
    <n v="233.0406375"/>
    <n v="71.266249999999999"/>
    <n v="3.27"/>
    <n v="-190.29731249999992"/>
    <n v="-47.723749999999981"/>
    <n v="3.9874760994263863"/>
    <n v="550.04040000000009"/>
    <n v="170.82000000000002"/>
    <n v="3.22"/>
    <n v="2205.9213"/>
    <n v="24.09"/>
    <n v="91.57"/>
    <n v="2264.4490500000002"/>
    <n v="23.81625"/>
    <n v="95.08"/>
    <n v="2541.1391250000001"/>
    <n v="24.363750000000003"/>
    <n v="104.3"/>
    <n v="1967.3737250000004"/>
    <n v="24.819999999999997"/>
    <n v="79.265661764705911"/>
    <n v="8978.8832000000002"/>
    <n v="97.09"/>
    <n v="92.48"/>
    <n v="288.89932500000003"/>
    <n v="7.1174999999999997"/>
    <n v="40.590000000000003"/>
    <n v="278.94212500000003"/>
    <n v="7.0262500000000001"/>
    <n v="39.700000000000003"/>
    <n v="298.15390000000002"/>
    <n v="7.2087500000000002"/>
    <n v="41.36"/>
    <n v="-104.20385000000005"/>
    <n v="-1.6424999999999992"/>
    <n v="63.442222222222284"/>
    <n v="761.79150000000004"/>
    <n v="19.71"/>
    <n v="38.65"/>
    <n v="97.98"/>
    <n v="3.73"/>
    <n v="9.94"/>
    <n v="3.49"/>
    <n v="4.01"/>
    <n v="3.56"/>
    <n v="3.85"/>
    <n v="9.77"/>
    <n v="9.39"/>
    <n v="10.01"/>
    <n v="10.53"/>
    <n v="94.33"/>
    <n v="94.05"/>
    <n v="105.83"/>
    <n v="97.44"/>
  </r>
  <r>
    <x v="12"/>
    <s v="OXY"/>
    <x v="7"/>
    <n v="173"/>
    <n v="67"/>
    <n v="20"/>
    <n v="115.83333333333333"/>
    <n v="695"/>
    <n v="158"/>
    <n v="74"/>
    <n v="2"/>
    <n v="102.33333333333333"/>
    <n v="614"/>
    <n v="218.16666666666666"/>
    <n v="1309"/>
    <n v="0.53093964858670739"/>
    <n v="0.24892086330935251"/>
    <n v="0.57841726618705036"/>
    <n v="0.17266187050359713"/>
    <n v="454"/>
    <n v="75"/>
    <n v="586"/>
    <n v="3760"/>
    <n v="1071"/>
    <n v="626.66666666666663"/>
    <n v="178.49999999999994"/>
    <n v="0.39828932688731855"/>
    <m/>
    <n v="-111"/>
    <n v="27"/>
    <n v="46"/>
    <n v="284"/>
    <n v="246"/>
    <n v="-54"/>
    <n v="15"/>
    <n v="33"/>
    <n v="224"/>
    <n v="218"/>
    <n v="6"/>
    <n v="2"/>
    <n v="3"/>
    <n v="6"/>
    <n v="17"/>
    <n v="1656"/>
    <n v="276"/>
    <n v="842"/>
    <n v="771"/>
    <n v="379"/>
    <n v="3665"/>
    <n v="5657"/>
    <n v="14659"/>
    <n v="726.5"/>
    <n v="4359"/>
    <n v="20.177563661390227"/>
    <n v="3.3629272768983713"/>
    <m/>
    <n v="2271"/>
    <n v="1503"/>
    <n v="0"/>
    <n v="726.3110566837122"/>
    <n v="2900"/>
    <n v="0"/>
    <n v="1401.398579096983"/>
    <n v="0"/>
    <n v="529"/>
    <n v="529"/>
    <n v="399"/>
    <n v="0"/>
    <n v="192.8131148481711"/>
    <n v="13910"/>
    <n v="15283"/>
    <n v="0.48324088934378723"/>
    <n v="5120.5227506288666"/>
    <n v="44.205951803990217"/>
    <n v="7.367658633998369"/>
    <m/>
    <n v="10777.522750628867"/>
    <n v="1077.7522750628866"/>
    <n v="0.19051657681861173"/>
    <n v="9.3043361875932664"/>
    <n v="1.5507226979322108"/>
    <n v="48.83741007194245"/>
    <n v="8.1395683453237417"/>
    <n v="64.383515465380441"/>
    <n v="73.687851652973706"/>
    <n v="113.2209255373229"/>
    <n v="10.730585910896741"/>
    <n v="12.281308608828951"/>
    <n v="18.870154256220481"/>
    <n v="4"/>
    <n v="6.4383515465380441"/>
    <n v="745.77572080732341"/>
    <n v="0.13183237065711922"/>
    <n v="141"/>
    <m/>
    <m/>
    <n v="183.469075"/>
    <n v="41.792500000000004"/>
    <n v="4.3899999999999997"/>
    <n v="173.81756250000001"/>
    <n v="41.883749999999999"/>
    <n v="4.1500000000000004"/>
    <n v="157.66905"/>
    <n v="42.157499999999999"/>
    <n v="3.74"/>
    <n v="171.85431250000008"/>
    <n v="47.166249999999991"/>
    <n v="3.6435865157819438"/>
    <n v="686.81000000000006"/>
    <n v="173"/>
    <n v="3.97"/>
    <n v="1461.1752999999999"/>
    <n v="15.786249999999999"/>
    <n v="92.56"/>
    <n v="1530.4723749999998"/>
    <n v="16.333749999999998"/>
    <n v="93.7"/>
    <n v="1451.993725"/>
    <n v="16.607499999999998"/>
    <n v="87.43"/>
    <n v="1215.8989500000002"/>
    <n v="18.067500000000006"/>
    <n v="67.297575757575743"/>
    <n v="5659.5403500000002"/>
    <n v="66.795000000000002"/>
    <n v="84.73"/>
    <n v="203.41267500000001"/>
    <n v="4.8362499999999997"/>
    <n v="42.06"/>
    <n v="203.94466249999999"/>
    <n v="4.8362499999999997"/>
    <n v="42.17"/>
    <n v="197.33724999999998"/>
    <n v="5.0187499999999998"/>
    <n v="39.32"/>
    <n v="140.14631250000011"/>
    <n v="5.0187500000000007"/>
    <n v="27.924545454545473"/>
    <n v="744.84090000000003"/>
    <n v="19.71"/>
    <n v="37.79"/>
    <n v="93.17"/>
    <n v="4.37"/>
    <n v="9.56"/>
    <n v="5.21"/>
    <n v="4.6100000000000003"/>
    <n v="3.96"/>
    <n v="3.8"/>
    <n v="11.19"/>
    <n v="10.15"/>
    <n v="9.83"/>
    <n v="7.41"/>
    <n v="98.68"/>
    <n v="103.35"/>
    <n v="97.87"/>
    <n v="73.209999999999994"/>
  </r>
  <r>
    <x v="12"/>
    <s v="OXY"/>
    <x v="8"/>
    <n v="155"/>
    <n v="73"/>
    <n v="20"/>
    <n v="118.83333333333333"/>
    <n v="713"/>
    <n v="205"/>
    <n v="86"/>
    <n v="7"/>
    <n v="127.16666666666666"/>
    <n v="763"/>
    <n v="246"/>
    <n v="1476"/>
    <n v="0.48306233062330622"/>
    <n v="0.21739130434782608"/>
    <n v="0.61430575035063117"/>
    <n v="0.16830294530154277"/>
    <n v="242"/>
    <n v="45"/>
    <n v="206"/>
    <n v="1928"/>
    <n v="-1832"/>
    <n v="321.33333333333331"/>
    <n v="-305.33333333333331"/>
    <n v="-0.48723404255319147"/>
    <m/>
    <n v="-600"/>
    <n v="0"/>
    <n v="0"/>
    <n v="123"/>
    <n v="-477"/>
    <n v="-220"/>
    <n v="0"/>
    <n v="0"/>
    <n v="81"/>
    <n v="-139"/>
    <n v="-28"/>
    <n v="0"/>
    <n v="0"/>
    <n v="12"/>
    <n v="-16"/>
    <n v="-1407"/>
    <n v="-234.5"/>
    <n v="25"/>
    <n v="37"/>
    <n v="74"/>
    <n v="2880"/>
    <n v="3016"/>
    <n v="12119"/>
    <n v="369.33333333333337"/>
    <n v="2216"/>
    <n v="32.813176895306853"/>
    <n v="5.4688628158844761"/>
    <m/>
    <n v="1571"/>
    <n v="1270"/>
    <n v="0"/>
    <n v="554.04176005870988"/>
    <n v="1000"/>
    <n v="0"/>
    <n v="436.2533543769369"/>
    <n v="0"/>
    <n v="307"/>
    <n v="307"/>
    <n v="384"/>
    <n v="0"/>
    <n v="167.52128808074377"/>
    <n v="8304"/>
    <n v="9195"/>
    <n v="0.43625335437693691"/>
    <n v="3035.8164025163906"/>
    <n v="25.546842096912123"/>
    <n v="4.2578070161520207"/>
    <m/>
    <n v="6051.8164025163906"/>
    <n v="605.18164025163912"/>
    <n v="0.20065704252375302"/>
    <n v="5.0926926248384783"/>
    <n v="0.84878210413974631"/>
    <n v="25.380084151472651"/>
    <n v="4.2300140252454419"/>
    <n v="58.360018992218976"/>
    <n v="63.452711617057453"/>
    <n v="83.740103143691627"/>
    <n v="9.7266698320364959"/>
    <n v="10.575451936176242"/>
    <n v="13.956683857281938"/>
    <n v="4"/>
    <n v="5.8360018992218974"/>
    <n v="693.51155902420214"/>
    <n v="0.22994415087009354"/>
    <n v="76"/>
    <m/>
    <m/>
    <n v="101.56398750000001"/>
    <n v="40.78875"/>
    <n v="2.4900000000000002"/>
    <n v="83.341362499999988"/>
    <n v="39.876249999999999"/>
    <n v="2.09"/>
    <n v="85.643600000000006"/>
    <n v="38.233750000000001"/>
    <n v="2.2400000000000002"/>
    <n v="62.701049999999995"/>
    <n v="36.101250000000007"/>
    <n v="1.7368110522488829"/>
    <n v="333.25"/>
    <n v="155"/>
    <n v="2.15"/>
    <n v="717.1155"/>
    <n v="16.425000000000001"/>
    <n v="43.66"/>
    <n v="903.03920000000005"/>
    <n v="17.155000000000001"/>
    <n v="52.64"/>
    <n v="827.99519999999984"/>
    <n v="18.614999999999998"/>
    <n v="44.48"/>
    <n v="839.77010000000007"/>
    <n v="20.805000000000003"/>
    <n v="40.363859649122801"/>
    <n v="3287.92"/>
    <n v="73"/>
    <n v="45.04"/>
    <n v="79.022500000000008"/>
    <n v="4.5625"/>
    <n v="17.32"/>
    <n v="80.602949999999993"/>
    <n v="4.6537499999999996"/>
    <n v="17.32"/>
    <n v="72.613100000000003"/>
    <n v="5.2925000000000004"/>
    <n v="13.72"/>
    <n v="75.912700000000001"/>
    <n v="5.5662500000000001"/>
    <n v="13.638032786885246"/>
    <n v="308.15125"/>
    <n v="20.074999999999999"/>
    <n v="15.35"/>
    <n v="48.66"/>
    <n v="2.62"/>
    <n v="4.97"/>
    <n v="2.9"/>
    <n v="2.75"/>
    <n v="2.76"/>
    <n v="2.12"/>
    <n v="5.43"/>
    <n v="5.2"/>
    <n v="4.68"/>
    <n v="4.5999999999999996"/>
    <n v="48.49"/>
    <n v="57.85"/>
    <n v="46.64"/>
    <n v="41.94"/>
  </r>
  <r>
    <x v="12"/>
    <s v="OXY"/>
    <x v="9"/>
    <n v="132"/>
    <n v="69"/>
    <n v="19"/>
    <n v="110"/>
    <n v="660"/>
    <n v="217"/>
    <n v="74"/>
    <n v="11"/>
    <n v="121.16666666666666"/>
    <n v="727"/>
    <n v="231.16666666666666"/>
    <n v="1387"/>
    <n v="0.47584715212689255"/>
    <n v="0.2"/>
    <n v="0.62727272727272732"/>
    <n v="0.17272727272727273"/>
    <n v="290"/>
    <n v="70"/>
    <n v="337"/>
    <n v="2497"/>
    <n v="569"/>
    <n v="416.16666666666669"/>
    <n v="94.833333333333371"/>
    <n v="0.29512448132780095"/>
    <m/>
    <n v="-1.9E-2"/>
    <n v="0"/>
    <n v="128"/>
    <n v="138"/>
    <n v="265.98099999999999"/>
    <n v="-90"/>
    <n v="0"/>
    <n v="90"/>
    <n v="114"/>
    <n v="114"/>
    <n v="1"/>
    <n v="0"/>
    <n v="26"/>
    <n v="28"/>
    <n v="55"/>
    <n v="1279.981"/>
    <n v="213.33016666666666"/>
    <n v="1265"/>
    <n v="797"/>
    <n v="13"/>
    <n v="1417"/>
    <n v="3492"/>
    <n v="12165"/>
    <n v="254.83016666666666"/>
    <n v="1528.981"/>
    <n v="47.737676269358481"/>
    <n v="7.9562793782264132"/>
    <m/>
    <n v="1335"/>
    <n v="1330"/>
    <n v="0"/>
    <n v="574.82620631256907"/>
    <n v="300"/>
    <n v="0"/>
    <n v="129.66004653666974"/>
    <n v="0"/>
    <n v="240"/>
    <n v="240"/>
    <n v="376"/>
    <n v="0"/>
    <n v="162.50725832595938"/>
    <n v="6377"/>
    <n v="7021"/>
    <n v="0.43220015512223242"/>
    <n v="2441.9935111751984"/>
    <n v="22.19994101068362"/>
    <n v="3.6999901684472705"/>
    <m/>
    <n v="5933.9935111751984"/>
    <n v="593.39935111751981"/>
    <n v="0.1699310856579381"/>
    <n v="5.3945395556138163"/>
    <n v="0.89908992593563608"/>
    <n v="31.745454545454546"/>
    <n v="5.290909090909091"/>
    <n v="69.937617280042105"/>
    <n v="75.332156835655923"/>
    <n v="101.68307182549665"/>
    <n v="11.656269546673684"/>
    <n v="12.55535947260932"/>
    <n v="16.947178637582773"/>
    <n v="4"/>
    <n v="6.9937617280042108"/>
    <n v="769.31379008046315"/>
    <n v="0.22030750002304214"/>
    <n v="56"/>
    <m/>
    <m/>
    <n v="47.221874999999997"/>
    <n v="31.481249999999999"/>
    <n v="1.5"/>
    <n v="47.561325000000004"/>
    <n v="32.576250000000002"/>
    <n v="1.46"/>
    <n v="73.246374999999986"/>
    <n v="31.846249999999998"/>
    <n v="2.2999999999999998"/>
    <n v="82.770425000000003"/>
    <n v="36.096249999999998"/>
    <n v="2.2930477542681027"/>
    <n v="250.79999999999998"/>
    <n v="132"/>
    <n v="1.9"/>
    <n v="529.93984999999998"/>
    <n v="17.97625"/>
    <n v="29.48"/>
    <n v="718.29262499999993"/>
    <n v="17.337499999999999"/>
    <n v="41.43"/>
    <n v="685.25921249999999"/>
    <n v="16.516249999999999"/>
    <n v="41.49"/>
    <n v="783.72831250000013"/>
    <n v="17.170000000000002"/>
    <n v="45.645213308095521"/>
    <n v="2717.2200000000003"/>
    <n v="69"/>
    <n v="39.380000000000003"/>
    <n v="47.022950000000002"/>
    <n v="4.7450000000000001"/>
    <n v="9.91"/>
    <n v="67.616250000000008"/>
    <n v="4.7450000000000001"/>
    <n v="14.25"/>
    <n v="76.335187500000004"/>
    <n v="5.0187499999999998"/>
    <n v="15.21"/>
    <n v="88.705612499999972"/>
    <n v="4.4912499999999982"/>
    <n v="19.750762593932649"/>
    <n v="279.68"/>
    <n v="19"/>
    <n v="14.72"/>
    <n v="43.2"/>
    <n v="2.52"/>
    <n v="5.04"/>
    <n v="1.99"/>
    <n v="2.15"/>
    <n v="2.88"/>
    <n v="3.04"/>
    <n v="4.0199999999999996"/>
    <n v="5"/>
    <n v="5.04"/>
    <n v="6.05"/>
    <n v="33.35"/>
    <n v="45.46"/>
    <n v="44.85"/>
    <n v="49.14"/>
  </r>
  <r>
    <x v="13"/>
    <s v="PXD"/>
    <x v="0"/>
    <n v="132.84"/>
    <n v="6.8040000000000003"/>
    <n v="6.7709999999999999"/>
    <n v="35.715000000000003"/>
    <n v="214.29"/>
    <n v="18.249000000000002"/>
    <n v="2.48"/>
    <n v="0.13600000000000001"/>
    <n v="5.6575000000000006"/>
    <n v="33.945000000000007"/>
    <n v="41.372500000000002"/>
    <n v="248.23500000000001"/>
    <n v="0.86325457731584987"/>
    <n v="0.61990760184796312"/>
    <n v="0.19050818983620327"/>
    <n v="0.18958420831583367"/>
    <n v="154.81"/>
    <n v="58.209000000000003"/>
    <n v="926.97500000000002"/>
    <n v="2205.0889999999999"/>
    <m/>
    <n v="367.51483333333334"/>
    <m/>
    <m/>
    <m/>
    <n v="35.542000000000002"/>
    <n v="131.27699999999999"/>
    <n v="184.47800000000001"/>
    <n v="0"/>
    <n v="351.29700000000003"/>
    <n v="11.759"/>
    <n v="18.646999999999998"/>
    <n v="9.5839999999999996"/>
    <n v="0"/>
    <n v="39.989999999999995"/>
    <n v="3.8119999999999998"/>
    <n v="4.0449999999999999"/>
    <n v="10.093999999999999"/>
    <n v="0"/>
    <n v="17.951000000000001"/>
    <n v="698.94299999999998"/>
    <n v="116.4905"/>
    <n v="200.767"/>
    <n v="331.52600000000001"/>
    <n v="334.71000000000004"/>
    <n v="1038.4000000000001"/>
    <n v="1905.4030000000002"/>
    <m/>
    <m/>
    <m/>
    <m/>
    <m/>
    <s v="Additions include oil and purchases; excludes sales. Capital excludes asset retirement obligations."/>
    <m/>
    <m/>
    <m/>
    <m/>
    <m/>
    <m/>
    <m/>
    <m/>
    <m/>
    <m/>
    <m/>
    <m/>
    <m/>
    <n v="0"/>
    <n v="0"/>
    <m/>
    <m/>
    <m/>
    <m/>
    <m/>
    <m/>
    <m/>
    <n v="0"/>
    <m/>
    <m/>
    <m/>
    <m/>
    <m/>
    <m/>
    <m/>
    <m/>
    <m/>
    <m/>
    <n v="4"/>
    <m/>
    <m/>
    <m/>
    <m/>
    <m/>
    <m/>
    <m/>
    <m/>
    <m/>
    <m/>
    <m/>
    <m/>
    <m/>
    <m/>
    <m/>
    <m/>
    <m/>
    <m/>
    <m/>
    <m/>
    <m/>
    <m/>
    <m/>
    <m/>
    <m/>
    <m/>
    <m/>
    <m/>
    <m/>
    <m/>
    <m/>
    <m/>
    <m/>
    <m/>
    <m/>
    <m/>
    <m/>
    <m/>
    <m/>
    <m/>
    <m/>
    <m/>
    <m/>
    <m/>
    <m/>
    <m/>
    <m/>
    <m/>
    <m/>
    <m/>
    <m/>
    <n v="72.34"/>
    <n v="6.97"/>
    <n v="12.91"/>
    <m/>
    <m/>
    <m/>
    <m/>
    <m/>
    <m/>
    <m/>
    <m/>
    <m/>
    <m/>
    <m/>
    <m/>
  </r>
  <r>
    <x v="13"/>
    <s v="PXD"/>
    <x v="1"/>
    <n v="154.274"/>
    <n v="8.0679999999999996"/>
    <n v="6.984"/>
    <n v="40.764333333333333"/>
    <n v="244.58600000000001"/>
    <n v="4.6109999999999998"/>
    <n v="3.141"/>
    <n v="0"/>
    <n v="3.9095"/>
    <n v="23.457000000000001"/>
    <n v="44.673833333333334"/>
    <n v="268.04300000000001"/>
    <n v="0.91248792171405335"/>
    <n v="0.63075564423147679"/>
    <n v="0.19791811469176485"/>
    <n v="0.17132624107675828"/>
    <n v="174.393"/>
    <n v="63.079000000000001"/>
    <n v="1009.31"/>
    <n v="2434.1419999999998"/>
    <n v="229.05299999999988"/>
    <n v="405.69033333333334"/>
    <n v="38.1755"/>
    <n v="0.10387471888889745"/>
    <m/>
    <n v="-92.793999999999997"/>
    <n v="202.28399999999999"/>
    <n v="58.758000000000003"/>
    <n v="0"/>
    <n v="168.24799999999999"/>
    <n v="-8.577"/>
    <n v="17.196000000000002"/>
    <n v="2.4249999999999998"/>
    <n v="0"/>
    <n v="11.044"/>
    <n v="-6.077"/>
    <n v="5.8410000000000002"/>
    <n v="2.0449999999999999"/>
    <n v="0"/>
    <n v="1.8090000000000002"/>
    <n v="245.36600000000001"/>
    <n v="40.894333333333329"/>
    <n v="50.125999999999998"/>
    <n v="85.245000000000005"/>
    <n v="321.33699999999999"/>
    <n v="838.23900000000003"/>
    <n v="1294.9470000000001"/>
    <m/>
    <m/>
    <m/>
    <m/>
    <m/>
    <s v="Additions include oil and purchases; excludes sales. Capital excludes asset retirement obligations."/>
    <m/>
    <m/>
    <m/>
    <m/>
    <m/>
    <m/>
    <m/>
    <m/>
    <m/>
    <m/>
    <m/>
    <m/>
    <m/>
    <n v="0"/>
    <n v="0"/>
    <m/>
    <m/>
    <m/>
    <m/>
    <m/>
    <m/>
    <m/>
    <n v="0"/>
    <m/>
    <m/>
    <m/>
    <m/>
    <m/>
    <m/>
    <m/>
    <m/>
    <m/>
    <m/>
    <n v="4"/>
    <m/>
    <m/>
    <m/>
    <m/>
    <m/>
    <m/>
    <m/>
    <m/>
    <m/>
    <m/>
    <m/>
    <m/>
    <m/>
    <m/>
    <m/>
    <m/>
    <m/>
    <m/>
    <m/>
    <m/>
    <m/>
    <m/>
    <m/>
    <m/>
    <m/>
    <m/>
    <m/>
    <m/>
    <m/>
    <m/>
    <m/>
    <m/>
    <m/>
    <m/>
    <m/>
    <m/>
    <m/>
    <m/>
    <m/>
    <m/>
    <m/>
    <m/>
    <m/>
    <m/>
    <m/>
    <m/>
    <m/>
    <m/>
    <m/>
    <m/>
    <m/>
    <n v="99.67"/>
    <n v="8.86"/>
    <n v="15.2"/>
    <m/>
    <m/>
    <m/>
    <m/>
    <m/>
    <m/>
    <m/>
    <m/>
    <m/>
    <m/>
    <m/>
    <m/>
  </r>
  <r>
    <x v="13"/>
    <s v="PXD"/>
    <x v="2"/>
    <n v="147.47300000000001"/>
    <n v="9.3149999999999995"/>
    <n v="7.1929999999999996"/>
    <n v="41.086833333333331"/>
    <n v="246.52100000000002"/>
    <n v="9.93"/>
    <n v="2.52"/>
    <n v="0"/>
    <n v="4.1749999999999998"/>
    <n v="25.05"/>
    <n v="45.261833333333328"/>
    <n v="271.57100000000003"/>
    <n v="0.90775892860430607"/>
    <n v="0.59821678477695617"/>
    <n v="0.22671496545933206"/>
    <n v="0.17506824976371183"/>
    <n v="181.07300000000001"/>
    <n v="63.819000000000003"/>
    <n v="779.07899999999995"/>
    <n v="2248.431"/>
    <n v="-185.71099999999979"/>
    <n v="374.73849999999999"/>
    <n v="-30.951833333333354"/>
    <n v="-7.6294234272281616E-2"/>
    <m/>
    <n v="-335.00599999999997"/>
    <n v="18.864999999999998"/>
    <n v="0"/>
    <n v="0"/>
    <n v="-316.14099999999996"/>
    <n v="21.91"/>
    <n v="10.413"/>
    <n v="0"/>
    <n v="0"/>
    <n v="32.323"/>
    <n v="8.2629999999999999"/>
    <n v="1.2290000000000001"/>
    <n v="0"/>
    <n v="0"/>
    <n v="9.4920000000000009"/>
    <n v="-65.250999999999976"/>
    <n v="-10.875166666666662"/>
    <n v="80.087999999999994"/>
    <n v="8.77"/>
    <n v="89.668999999999997"/>
    <n v="235.679"/>
    <n v="414.20600000000002"/>
    <n v="3614.5560000000005"/>
    <n v="146.50966666666665"/>
    <n v="879.05799999999999"/>
    <n v="24.671109301092766"/>
    <n v="4.1118515501821271"/>
    <s v="Additions include oil and purchases; excludes sales. Capital excludes asset retirement obligations."/>
    <n v="345.9"/>
    <m/>
    <n v="140"/>
    <n v="140"/>
    <n v="-11.703999999999999"/>
    <n v="0"/>
    <n v="-10.624410500384798"/>
    <m/>
    <n v="98.4"/>
    <n v="98.4"/>
    <m/>
    <n v="183.00399999999999"/>
    <n v="183.00399999999999"/>
    <n v="1402.4359999999999"/>
    <n v="1402.4359999999999"/>
    <n v="0.90775892860430607"/>
    <n v="756.67958949961519"/>
    <n v="18.416595490841313"/>
    <n v="3.0694325818068853"/>
    <s v="Excludes asset retirement obligations. Includes hurricane activity and other; Net Operating Loss"/>
    <n v="1170.8855894996152"/>
    <n v="117.08855894996152"/>
    <n v="0.282681947991969"/>
    <n v="2.8497829949568967"/>
    <n v="0.4749638324928161"/>
    <n v="10.081234458727655"/>
    <n v="1.6802057431212756"/>
    <n v="43.08770479193408"/>
    <n v="45.937487786890976"/>
    <n v="53.168939250661737"/>
    <n v="7.1812841319890124"/>
    <n v="7.6562479644818282"/>
    <n v="8.8614898751102871"/>
    <n v="4"/>
    <n v="4.3087704791934076"/>
    <n v="177.03373455020633"/>
    <n v="0.4274050461611042"/>
    <n v="128"/>
    <m/>
    <m/>
    <m/>
    <m/>
    <m/>
    <m/>
    <m/>
    <m/>
    <m/>
    <m/>
    <m/>
    <m/>
    <m/>
    <m/>
    <m/>
    <m/>
    <m/>
    <m/>
    <m/>
    <m/>
    <m/>
    <m/>
    <m/>
    <m/>
    <m/>
    <m/>
    <m/>
    <m/>
    <m/>
    <m/>
    <m/>
    <m/>
    <m/>
    <m/>
    <m/>
    <m/>
    <m/>
    <m/>
    <m/>
    <m/>
    <m/>
    <m/>
    <m/>
    <m/>
    <m/>
    <m/>
    <m/>
    <n v="61.95"/>
    <n v="3.94"/>
    <n v="8.99"/>
    <m/>
    <m/>
    <m/>
    <m/>
    <m/>
    <m/>
    <m/>
    <m/>
    <m/>
    <m/>
    <m/>
    <m/>
  </r>
  <r>
    <x v="13"/>
    <s v="PXD"/>
    <x v="3"/>
    <n v="139.65799999999999"/>
    <n v="10.297000000000001"/>
    <n v="7.2030000000000003"/>
    <n v="40.776333333333334"/>
    <n v="244.65800000000002"/>
    <n v="11.902000000000001"/>
    <n v="2.0059999999999998"/>
    <n v="0"/>
    <n v="3.9896666666666665"/>
    <n v="23.937999999999999"/>
    <n v="44.765999999999998"/>
    <n v="268.596"/>
    <n v="0.91087730271485801"/>
    <n v="0.57082948442315384"/>
    <n v="0.25252393136541623"/>
    <n v="0.17664658421142984"/>
    <n v="207.99299999999999"/>
    <n v="75.433000000000007"/>
    <n v="898.91099999999994"/>
    <n v="2599.4670000000001"/>
    <n v="351.03600000000006"/>
    <n v="433.24450000000002"/>
    <n v="58.506000000000029"/>
    <n v="0.15612487107676429"/>
    <m/>
    <n v="188.10900000000001"/>
    <n v="155.44800000000001"/>
    <n v="3.3639999999999999"/>
    <n v="0"/>
    <n v="346.92099999999999"/>
    <n v="12.897"/>
    <n v="31.428000000000001"/>
    <n v="1.944"/>
    <n v="9.7159999999999993"/>
    <n v="55.985000000000007"/>
    <n v="19.291"/>
    <n v="15.669"/>
    <n v="0.55500000000000005"/>
    <n v="0"/>
    <n v="35.515000000000001"/>
    <n v="895.92100000000005"/>
    <n v="149.32016666666669"/>
    <n v="175.00700000000001"/>
    <n v="6.56"/>
    <n v="239.36600000000001"/>
    <n v="671.30099999999993"/>
    <n v="1092.2339999999999"/>
    <n v="2801.3870000000002"/>
    <n v="179.33933333333337"/>
    <n v="1076.0360000000001"/>
    <n v="15.620594478251654"/>
    <n v="2.6034324130419431"/>
    <s v="Additions include oil and purchases; excludes sales. Capital excludes asset retirement obligations."/>
    <n v="364.8"/>
    <m/>
    <n v="165"/>
    <n v="165"/>
    <n v="9.8640000000000008"/>
    <n v="0"/>
    <n v="8.9848937139793605"/>
    <m/>
    <n v="112.1"/>
    <n v="112.1"/>
    <m/>
    <n v="198.32599999999999"/>
    <n v="198.32599999999999"/>
    <n v="1718.297"/>
    <n v="1718.297"/>
    <n v="0.91087730271485801"/>
    <n v="849.21089371397943"/>
    <n v="20.826072976497301"/>
    <n v="3.4710121627495498"/>
    <s v="Excludes asset retirement obligations. Includes hurricane activity and other; Net Operating Loss"/>
    <n v="1941.4448937139794"/>
    <n v="194.14448937139795"/>
    <n v="0.17774990466456636"/>
    <n v="4.7612051771386499"/>
    <n v="0.79353419618977483"/>
    <n v="26.785978794889189"/>
    <n v="4.4643297991481985"/>
    <n v="36.446667454748955"/>
    <n v="41.207872631887604"/>
    <n v="63.232646249638144"/>
    <n v="6.0744445757914924"/>
    <n v="6.8679787719812673"/>
    <n v="10.538774374939692"/>
    <n v="4"/>
    <n v="3.6446667454748956"/>
    <n v="148.61614610239951"/>
    <n v="0.13606621484260656"/>
    <n v="96"/>
    <m/>
    <m/>
    <m/>
    <m/>
    <m/>
    <m/>
    <m/>
    <m/>
    <m/>
    <m/>
    <m/>
    <m/>
    <m/>
    <m/>
    <m/>
    <m/>
    <m/>
    <m/>
    <m/>
    <m/>
    <m/>
    <m/>
    <m/>
    <m/>
    <m/>
    <m/>
    <m/>
    <m/>
    <m/>
    <m/>
    <m/>
    <m/>
    <m/>
    <m/>
    <m/>
    <m/>
    <m/>
    <m/>
    <m/>
    <m/>
    <m/>
    <m/>
    <m/>
    <m/>
    <m/>
    <m/>
    <m/>
    <n v="79.48"/>
    <n v="4.37"/>
    <n v="11.83"/>
    <m/>
    <m/>
    <m/>
    <m/>
    <m/>
    <m/>
    <m/>
    <m/>
    <m/>
    <m/>
    <m/>
    <m/>
  </r>
  <r>
    <x v="13"/>
    <s v="PXD"/>
    <x v="4"/>
    <n v="143.24299999999999"/>
    <n v="14.826000000000001"/>
    <n v="8.2080000000000002"/>
    <n v="46.907833333333329"/>
    <n v="281.447"/>
    <n v="7.6890000000000001"/>
    <n v="0.39300000000000002"/>
    <n v="0"/>
    <n v="1.6745000000000001"/>
    <n v="10.047000000000001"/>
    <n v="48.582333333333331"/>
    <n v="291.49400000000003"/>
    <n v="0.96553273823817976"/>
    <n v="0.50895195187726283"/>
    <n v="0.31606661289692201"/>
    <n v="0.17498143522581519"/>
    <n v="239.79900000000001"/>
    <n v="90.63"/>
    <n v="677.67499999999995"/>
    <n v="2660.2489999999998"/>
    <n v="60.781999999999698"/>
    <n v="443.3748333333333"/>
    <n v="10.130333333333283"/>
    <n v="2.3382485717264229E-2"/>
    <m/>
    <n v="-247.196"/>
    <n v="273.04300000000001"/>
    <n v="4.569"/>
    <n v="0"/>
    <n v="30.416000000000007"/>
    <n v="8.8160000000000007"/>
    <n v="70.864000000000004"/>
    <n v="2.81"/>
    <n v="1.3939999999999999"/>
    <n v="83.884000000000015"/>
    <n v="-5.75"/>
    <n v="39.911999999999999"/>
    <n v="0.86299999999999999"/>
    <n v="0"/>
    <n v="35.024999999999999"/>
    <n v="743.87000000000012"/>
    <n v="123.97833333333335"/>
    <n v="124.32599999999999"/>
    <n v="7.5649999999999995"/>
    <n v="565.97400000000005"/>
    <n v="1456.1190000000001"/>
    <n v="2153.9840000000004"/>
    <n v="3660.4240000000004"/>
    <n v="262.4233333333334"/>
    <n v="1574.5400000000002"/>
    <n v="13.948546242077049"/>
    <n v="2.324757707012842"/>
    <s v="Additions include oil and purchases; excludes sales. Capital excludes asset retirement obligations."/>
    <n v="453.1"/>
    <m/>
    <n v="190"/>
    <n v="190"/>
    <n v="6.9480000000000004"/>
    <n v="0"/>
    <n v="6.7085214652788734"/>
    <m/>
    <n v="147.69999999999999"/>
    <n v="147.69999999999999"/>
    <m/>
    <n v="194.96600000000001"/>
    <n v="194.96600000000001"/>
    <n v="1985"/>
    <n v="1985"/>
    <n v="0.96553273823817976"/>
    <n v="992.47452146527883"/>
    <n v="21.15796980885095"/>
    <n v="3.5263283014751581"/>
    <s v="Excludes asset retirement obligations. Includes hurricane activity and other; Net Operating Loss"/>
    <n v="3146.4585214652793"/>
    <n v="314.64585214652794"/>
    <n v="0.14607622533246667"/>
    <n v="6.7077464420625121"/>
    <n v="1.1179577403437519"/>
    <n v="45.919494611774162"/>
    <n v="7.6532491019623601"/>
    <n v="35.106516050928001"/>
    <n v="41.814262492990515"/>
    <n v="81.026010662702163"/>
    <n v="5.8510860084880001"/>
    <n v="6.9690437488317523"/>
    <n v="13.504335110450359"/>
    <n v="4"/>
    <n v="3.5106516050928001"/>
    <n v="164.6770603830922"/>
    <n v="7.6452313658361512E-2"/>
    <n v="108"/>
    <m/>
    <m/>
    <m/>
    <m/>
    <m/>
    <m/>
    <m/>
    <m/>
    <m/>
    <m/>
    <m/>
    <m/>
    <m/>
    <m/>
    <m/>
    <m/>
    <m/>
    <m/>
    <m/>
    <m/>
    <m/>
    <m/>
    <m/>
    <m/>
    <m/>
    <m/>
    <m/>
    <m/>
    <m/>
    <m/>
    <m/>
    <m/>
    <m/>
    <m/>
    <m/>
    <m/>
    <m/>
    <m/>
    <m/>
    <m/>
    <m/>
    <m/>
    <m/>
    <m/>
    <m/>
    <m/>
    <m/>
    <n v="94.88"/>
    <n v="4"/>
    <n v="15.12"/>
    <m/>
    <m/>
    <m/>
    <m/>
    <m/>
    <m/>
    <m/>
    <m/>
    <m/>
    <m/>
    <m/>
    <m/>
  </r>
  <r>
    <x v="13"/>
    <s v="PXD"/>
    <x v="5"/>
    <n v="161.197"/>
    <n v="22.99"/>
    <n v="10.913"/>
    <n v="60.769166666666663"/>
    <n v="364.61500000000001"/>
    <n v="0"/>
    <n v="0"/>
    <n v="0"/>
    <n v="0"/>
    <n v="0"/>
    <n v="60.769166666666663"/>
    <n v="364.61500000000001"/>
    <n v="1"/>
    <n v="0.44210194314550966"/>
    <n v="0.37831685476461474"/>
    <n v="0.17958120208987563"/>
    <n v="256.13799999999998"/>
    <n v="97.938999999999993"/>
    <n v="592.27099999999996"/>
    <n v="2716.7330000000002"/>
    <n v="56.484000000000378"/>
    <n v="452.78883333333334"/>
    <n v="9.4140000000000441"/>
    <n v="2.1232598903335842E-2"/>
    <m/>
    <n v="-485.21600000000001"/>
    <n v="320.24299999999999"/>
    <n v="9.4570000000000007"/>
    <n v="0"/>
    <n v="-155.51600000000002"/>
    <n v="-11.157999999999999"/>
    <n v="78.375"/>
    <n v="5.383"/>
    <n v="7.4980000000000002"/>
    <n v="80.097999999999999"/>
    <n v="-17.417000000000002"/>
    <n v="48.421999999999997"/>
    <n v="2.0369999999999999"/>
    <n v="0"/>
    <n v="33.041999999999994"/>
    <n v="523.32399999999984"/>
    <n v="87.220666666666659"/>
    <n v="140.51499999999999"/>
    <n v="16.937999999999999"/>
    <n v="964.62799999999993"/>
    <n v="1824.8110000000001"/>
    <n v="2946.8919999999998"/>
    <n v="6193.1100000000006"/>
    <n v="360.51916666666671"/>
    <n v="2163.1149999999998"/>
    <n v="17.178309983519139"/>
    <n v="2.8630516639198569"/>
    <s v="Additions include oil and purchases; excludes sales. Capital excludes asset retirement obligations."/>
    <n v="532"/>
    <m/>
    <n v="244.196"/>
    <n v="244.196"/>
    <n v="4.2590000000000003"/>
    <n v="0"/>
    <n v="4.2590000000000003"/>
    <m/>
    <n v="169"/>
    <n v="169"/>
    <m/>
    <n v="215"/>
    <n v="215"/>
    <n v="2512"/>
    <n v="2512"/>
    <n v="1"/>
    <n v="1164.4549999999999"/>
    <n v="19.161937934533686"/>
    <n v="3.1936563224222807"/>
    <m/>
    <n v="4111.3469999999998"/>
    <n v="411.13470000000001"/>
    <n v="0.13951468190894001"/>
    <n v="6.7655148581380367"/>
    <n v="1.1275858096896727"/>
    <n v="48.493210646846677"/>
    <n v="8.082201774474445"/>
    <n v="36.340247918052825"/>
    <n v="43.105762776190858"/>
    <n v="84.833458564899502"/>
    <n v="6.056707986342138"/>
    <n v="7.1842937960318105"/>
    <n v="14.138909760816583"/>
    <n v="4"/>
    <n v="3.6340247918052824"/>
    <n v="220.83665824401382"/>
    <n v="7.4938836660459168E-2"/>
    <n v="212.67"/>
    <m/>
    <m/>
    <n v="84.611491324999974"/>
    <n v="33.709757499999995"/>
    <n v="2.5099999999999998"/>
    <n v="68.020122499999999"/>
    <n v="34.01006125"/>
    <n v="2"/>
    <n v="89.979223300000001"/>
    <n v="34.343215000000001"/>
    <n v="2.62"/>
    <n v="147.55582162500008"/>
    <n v="39.815751250000019"/>
    <n v="3.705966030843133"/>
    <n v="390.16665875000007"/>
    <n v="141.87878500000002"/>
    <n v="2.75"/>
    <n v="5.8241942899999994"/>
    <n v="5.7671E-2"/>
    <n v="100.99"/>
    <n v="495.06053759999998"/>
    <n v="5.6053050000000004"/>
    <n v="88.32"/>
    <n v="511.30103009999999"/>
    <n v="5.6887075000000005"/>
    <n v="89.88"/>
    <n v="1088.7800880100003"/>
    <n v="11.733316500000001"/>
    <n v="92.793890628451067"/>
    <n v="2100.96585"/>
    <n v="23.085000000000001"/>
    <n v="91.01"/>
    <n v="104.85974131249999"/>
    <n v="2.5080062499999998"/>
    <n v="41.81"/>
    <n v="80.248462000000004"/>
    <n v="2.4601000000000002"/>
    <n v="32.619999999999997"/>
    <n v="92.731082400000005"/>
    <n v="2.99519"/>
    <n v="30.96"/>
    <n v="90.474464287500027"/>
    <n v="2.9497037500000007"/>
    <n v="30.672390163757971"/>
    <n v="368.31375000000003"/>
    <n v="10.913"/>
    <n v="33.75"/>
    <n v="94.05"/>
    <n v="2.75"/>
    <n v="10.98"/>
    <n v="2.41"/>
    <n v="2.2799999999999998"/>
    <n v="2.88"/>
    <n v="3.4"/>
    <n v="13.14"/>
    <n v="10.75"/>
    <n v="9.9600000000000009"/>
    <n v="10.08"/>
    <n v="102.98"/>
    <n v="93.29"/>
    <n v="92.17"/>
    <n v="88.01"/>
  </r>
  <r>
    <x v="13"/>
    <s v="PXD"/>
    <x v="6"/>
    <n v="157.69"/>
    <n v="27.454999999999998"/>
    <n v="12.999000000000001"/>
    <n v="66.73566666666666"/>
    <n v="400.41399999999999"/>
    <n v="0"/>
    <n v="0"/>
    <n v="0"/>
    <n v="0"/>
    <n v="0"/>
    <n v="66.73566666666666"/>
    <n v="400.41399999999999"/>
    <n v="1"/>
    <n v="0.39381739899204327"/>
    <n v="0.41139920182611001"/>
    <n v="0.19478339918184681"/>
    <n v="45.313000000000002"/>
    <n v="13.968"/>
    <n v="71.807000000000002"/>
    <n v="427.49300000000005"/>
    <n v="-2289.2400000000002"/>
    <n v="71.248833333333337"/>
    <n v="-381.54"/>
    <n v="-0.84264445567525414"/>
    <m/>
    <n v="-304.53100000000001"/>
    <n v="205.899"/>
    <n v="0.50900000000000001"/>
    <n v="0"/>
    <n v="-98.123000000000005"/>
    <n v="-184.35900000000001"/>
    <n v="78.921999999999997"/>
    <n v="9.6000000000000002E-2"/>
    <n v="0"/>
    <n v="-105.34100000000001"/>
    <n v="-64.986000000000004"/>
    <n v="38.639000000000003"/>
    <n v="0.123"/>
    <n v="0"/>
    <n v="-26.224"/>
    <n v="-887.51300000000015"/>
    <n v="-147.91883333333334"/>
    <n v="63.161999999999999"/>
    <n v="12.861000000000001"/>
    <n v="1287.912"/>
    <n v="1471.364"/>
    <n v="2835.299"/>
    <n v="7936.1750000000002"/>
    <n v="63.280166666666673"/>
    <n v="379.68099999999981"/>
    <n v="125.41330748707466"/>
    <n v="20.902217914512455"/>
    <s v="Additions include oil and purchases; excludes sales. Capital excludes asset retirement obligations."/>
    <n v="588"/>
    <m/>
    <n v="295.86799999999999"/>
    <n v="295.86799999999999"/>
    <n v="10.362"/>
    <n v="0"/>
    <n v="10.362"/>
    <m/>
    <n v="192"/>
    <n v="192"/>
    <m/>
    <n v="194"/>
    <n v="194"/>
    <n v="3088"/>
    <n v="3088"/>
    <n v="1"/>
    <n v="1280.23"/>
    <n v="19.183594979196535"/>
    <n v="3.1972658298660885"/>
    <m/>
    <n v="4115.5290000000005"/>
    <n v="411.55290000000008"/>
    <n v="0.14515326249541938"/>
    <n v="6.1669107473764671"/>
    <n v="1.0278184578960778"/>
    <n v="42.485512494568127"/>
    <n v="7.0809187490946872"/>
    <n v="144.59690246627119"/>
    <n v="150.76381321364767"/>
    <n v="187.08241496083932"/>
    <n v="24.099483744378546"/>
    <n v="25.127302202274624"/>
    <n v="31.180402493473231"/>
    <n v="4"/>
    <n v="14.459690246627119"/>
    <n v="964.97706840215847"/>
    <n v="0.34034402311789991"/>
    <n v="158.90199999999999"/>
    <m/>
    <m/>
    <n v="104.04106821249999"/>
    <n v="32.82052625"/>
    <n v="3.17"/>
    <n v="129.09720769999998"/>
    <n v="34.334363750000001"/>
    <n v="3.76"/>
    <n v="96.642455249999998"/>
    <n v="29.2855925"/>
    <n v="3.3"/>
    <n v="143.79241338750006"/>
    <n v="42.437272500000013"/>
    <n v="3.3883519113416165"/>
    <n v="473.57314455000005"/>
    <n v="138.87775500000001"/>
    <n v="3.41"/>
    <n v="550.28026157500005"/>
    <n v="6.2767225"/>
    <n v="87.67"/>
    <n v="572.99665068749994"/>
    <n v="6.3419662499999996"/>
    <n v="90.35"/>
    <n v="628.02317925"/>
    <n v="6.1752525"/>
    <n v="101.7"/>
    <n v="804.4858584875002"/>
    <n v="8.6610587500000005"/>
    <n v="92.885394466063417"/>
    <n v="2555.78595"/>
    <n v="27.454999999999998"/>
    <n v="93.09"/>
    <n v="84.341267224999996"/>
    <n v="2.7330287499999999"/>
    <n v="30.86"/>
    <n v="81.334112524999995"/>
    <n v="2.8498287499999999"/>
    <n v="28.54"/>
    <n v="88.751674462500006"/>
    <n v="2.8750137499999999"/>
    <n v="30.87"/>
    <n v="132.81315578749997"/>
    <n v="4.5411287500000013"/>
    <n v="29.246727652788952"/>
    <n v="387.24020999999999"/>
    <n v="12.999000000000001"/>
    <n v="29.79"/>
    <n v="97.98"/>
    <n v="3.73"/>
    <n v="9.94"/>
    <n v="3.49"/>
    <n v="4.01"/>
    <n v="3.56"/>
    <n v="3.85"/>
    <n v="9.77"/>
    <n v="9.39"/>
    <n v="10.01"/>
    <n v="10.53"/>
    <n v="94.33"/>
    <n v="94.05"/>
    <n v="105.83"/>
    <n v="97.44"/>
  </r>
  <r>
    <x v="13"/>
    <s v="PXD"/>
    <x v="7"/>
    <n v="154.42400000000001"/>
    <n v="32.718000000000004"/>
    <n v="15.760999999999999"/>
    <n v="74.216333333333338"/>
    <n v="445.298"/>
    <n v="0"/>
    <n v="0"/>
    <n v="0"/>
    <n v="0"/>
    <n v="0"/>
    <n v="74.216333333333338"/>
    <n v="445.298"/>
    <n v="1"/>
    <n v="0.34678799365817947"/>
    <n v="0.44084635457603671"/>
    <n v="0.21236565176578379"/>
    <n v="84.891000000000005"/>
    <n v="39.037999999999997"/>
    <n v="182.583"/>
    <n v="926.15699999999993"/>
    <n v="498.66399999999987"/>
    <n v="154.3595"/>
    <n v="83.11066666666666"/>
    <n v="1.1664845974086124"/>
    <m/>
    <n v="-2.5739999999999998"/>
    <n v="275.82499999999999"/>
    <n v="3.2519999999999998"/>
    <n v="0"/>
    <n v="276.50299999999999"/>
    <n v="-46.353999999999999"/>
    <n v="114.864"/>
    <n v="1.139"/>
    <n v="0"/>
    <n v="69.649000000000001"/>
    <n v="-20.125"/>
    <n v="55.987000000000002"/>
    <n v="0.64700000000000002"/>
    <n v="0"/>
    <n v="36.509"/>
    <n v="913.45099999999991"/>
    <n v="152.24183333333332"/>
    <n v="85"/>
    <n v="19"/>
    <n v="1940"/>
    <n v="1531"/>
    <n v="3575"/>
    <n v="9357.1909999999989"/>
    <n v="91.543666666666638"/>
    <n v="549.2619999999996"/>
    <n v="102.21560202599126"/>
    <n v="17.035933670998549"/>
    <m/>
    <n v="693"/>
    <m/>
    <n v="333"/>
    <n v="333"/>
    <n v="-4"/>
    <n v="0"/>
    <n v="-4"/>
    <m/>
    <n v="220"/>
    <n v="220"/>
    <m/>
    <n v="188"/>
    <n v="188"/>
    <n v="3599"/>
    <n v="3599"/>
    <n v="1"/>
    <n v="1430"/>
    <n v="19.267995814039136"/>
    <n v="3.2113326356731897"/>
    <m/>
    <n v="5005"/>
    <n v="500.5"/>
    <n v="0.14000000000000001"/>
    <n v="6.7437985349136982"/>
    <n v="1.1239664224856163"/>
    <n v="48.169989535097841"/>
    <n v="8.0283315891829741"/>
    <n v="121.4835978400304"/>
    <n v="128.22739637494411"/>
    <n v="169.65358737512824"/>
    <n v="20.24726630667174"/>
    <n v="21.371232729157356"/>
    <n v="28.275597895854716"/>
    <n v="4"/>
    <n v="12.14835978400304"/>
    <n v="901.60671918283094"/>
    <n v="0.25219768368750517"/>
    <n v="305"/>
    <m/>
    <m/>
    <n v="139.30767937500002"/>
    <n v="29.327932500000003"/>
    <n v="4.75"/>
    <n v="147.874554225"/>
    <n v="33.761313749999999"/>
    <n v="4.38"/>
    <n v="118.86815296250001"/>
    <n v="31.36362875"/>
    <n v="3.79"/>
    <n v="161.21605703749998"/>
    <n v="43.233154999999982"/>
    <n v="3.7289912576933153"/>
    <n v="567.2664436"/>
    <n v="137.68602999999999"/>
    <n v="4.12"/>
    <n v="662.47972857499997"/>
    <n v="7.1712462500000003"/>
    <n v="92.38"/>
    <n v="697.92640975000006"/>
    <n v="7.2799250000000004"/>
    <n v="95.87"/>
    <n v="737.34816722499988"/>
    <n v="8.1187862499999994"/>
    <n v="90.82"/>
    <n v="699.96187445000044"/>
    <n v="10.148042500000006"/>
    <n v="68.975063363205265"/>
    <n v="2797.7161800000003"/>
    <n v="32.718000000000004"/>
    <n v="85.51"/>
    <n v="100.317653025"/>
    <n v="3.0566012499999999"/>
    <n v="32.82"/>
    <n v="106.43557679999999"/>
    <n v="3.519695"/>
    <n v="30.24"/>
    <n v="103.33627785"/>
    <n v="3.6334837499999999"/>
    <n v="28.44"/>
    <n v="121.76189232499999"/>
    <n v="5.5512199999999989"/>
    <n v="21.934258113531804"/>
    <n v="431.85139999999996"/>
    <n v="15.760999999999999"/>
    <n v="27.4"/>
    <n v="93.17"/>
    <n v="4.37"/>
    <n v="9.56"/>
    <n v="5.21"/>
    <n v="4.6100000000000003"/>
    <n v="3.96"/>
    <n v="3.8"/>
    <n v="11.19"/>
    <n v="10.15"/>
    <n v="9.83"/>
    <n v="7.41"/>
    <n v="98.68"/>
    <n v="103.35"/>
    <n v="97.87"/>
    <n v="73.209999999999994"/>
  </r>
  <r>
    <x v="13"/>
    <s v="PXD"/>
    <x v="8"/>
    <n v="147.173"/>
    <n v="38.451999999999998"/>
    <n v="14.086"/>
    <n v="77.066833333333335"/>
    <n v="462.40100000000001"/>
    <n v="0"/>
    <n v="0"/>
    <n v="0"/>
    <n v="0"/>
    <n v="0"/>
    <n v="77.066833333333335"/>
    <n v="462.40100000000001"/>
    <n v="1"/>
    <n v="0.31828002102071579"/>
    <n v="0.49894355764801546"/>
    <n v="0.18277642133126876"/>
    <n v="85.466999999999999"/>
    <n v="37.261000000000003"/>
    <n v="202.67400000000001"/>
    <n v="939.04200000000003"/>
    <n v="12.885000000000105"/>
    <n v="156.50700000000001"/>
    <n v="2.147500000000008"/>
    <n v="1.3912328039414536E-2"/>
    <m/>
    <n v="-309.947"/>
    <n v="143.99100000000001"/>
    <n v="0.75900000000000001"/>
    <n v="0"/>
    <n v="-165.197"/>
    <n v="-82.816000000000003"/>
    <n v="80.725999999999999"/>
    <n v="0.44400000000000001"/>
    <n v="0"/>
    <n v="-1.6460000000000035"/>
    <n v="-54.439"/>
    <n v="25.495999999999999"/>
    <n v="0.13200000000000001"/>
    <n v="0"/>
    <n v="-28.811"/>
    <n v="-347.93900000000002"/>
    <n v="-57.989833333333337"/>
    <n v="27"/>
    <n v="9"/>
    <n v="1243"/>
    <n v="794"/>
    <n v="2073"/>
    <n v="8483.2989999999991"/>
    <n v="-53.666833333333358"/>
    <n v="-322.00100000000026"/>
    <n v="-158.07340349874681"/>
    <n v="-26.345567249791124"/>
    <m/>
    <n v="717"/>
    <m/>
    <n v="327"/>
    <n v="327"/>
    <n v="23"/>
    <n v="0"/>
    <n v="23"/>
    <m/>
    <n v="145"/>
    <n v="145"/>
    <m/>
    <n v="191"/>
    <n v="191"/>
    <n v="2178"/>
    <n v="2178"/>
    <n v="1"/>
    <n v="1403"/>
    <n v="18.204977930411051"/>
    <n v="3.0341629884018415"/>
    <m/>
    <n v="3476"/>
    <n v="347.6"/>
    <n v="0.16767969126869273"/>
    <n v="4.5103708685751114"/>
    <n v="0.75172847809585186"/>
    <n v="26.898730755340061"/>
    <n v="4.4831217925566769"/>
    <n v="-139.86842556833577"/>
    <n v="-135.35805469976066"/>
    <n v="-112.9696948129957"/>
    <n v="-23.311404261389281"/>
    <n v="-22.559675783293429"/>
    <n v="-18.828282468832604"/>
    <n v="4"/>
    <n v="-13.986842556833576"/>
    <n v="-1077.9216641870671"/>
    <n v="-0.51998150708493351"/>
    <n v="306"/>
    <m/>
    <m/>
    <n v="88.554073500000015"/>
    <n v="32.797805000000004"/>
    <n v="2.7"/>
    <n v="77.074008637500015"/>
    <n v="32.520678750000002"/>
    <n v="2.37"/>
    <n v="83.100572912499999"/>
    <n v="32.846076250000003"/>
    <n v="2.5299999999999998"/>
    <n v="67.212144949999939"/>
    <n v="33.47743999999998"/>
    <n v="2.0076847258930188"/>
    <n v="315.94079999999997"/>
    <n v="131.642"/>
    <n v="2.4"/>
    <n v="386.88111855000005"/>
    <n v="8.993052500000001"/>
    <n v="43.02"/>
    <n v="473.8962133500001"/>
    <n v="9.1769212500000013"/>
    <n v="51.64"/>
    <n v="422.70909697500002"/>
    <n v="9.9554662500000006"/>
    <n v="42.46"/>
    <n v="391.09817112499974"/>
    <n v="10.326559999999997"/>
    <n v="37.873035272636756"/>
    <n v="1674.5845999999999"/>
    <n v="38.451999999999998"/>
    <n v="43.55"/>
    <n v="48.404474999999998"/>
    <n v="3.2269649999999999"/>
    <n v="15"/>
    <n v="46.932226512499994"/>
    <n v="3.3451337499999996"/>
    <n v="14.03"/>
    <n v="47.051659987500003"/>
    <n v="3.7975512500000002"/>
    <n v="12.39"/>
    <n v="45.096298500000039"/>
    <n v="3.7163500000000012"/>
    <n v="12.134567115583845"/>
    <n v="187.48466000000002"/>
    <n v="14.086"/>
    <n v="13.31"/>
    <n v="48.66"/>
    <n v="2.62"/>
    <n v="4.97"/>
    <n v="2.9"/>
    <n v="2.75"/>
    <n v="2.76"/>
    <n v="2.12"/>
    <n v="5.43"/>
    <n v="5.2"/>
    <n v="4.68"/>
    <n v="4.5999999999999996"/>
    <n v="48.49"/>
    <n v="57.85"/>
    <n v="46.64"/>
    <n v="41.94"/>
  </r>
  <r>
    <x v="13"/>
    <s v="PXD"/>
    <x v="9"/>
    <n v="139.51"/>
    <n v="48.926000000000002"/>
    <n v="15.922000000000001"/>
    <n v="88.099666666666664"/>
    <n v="528.59800000000007"/>
    <n v="0"/>
    <n v="0"/>
    <n v="0"/>
    <n v="0"/>
    <n v="0"/>
    <n v="88.099666666666664"/>
    <n v="528.59800000000007"/>
    <n v="1"/>
    <n v="0.26392457027835892"/>
    <n v="0.55534829870714608"/>
    <n v="0.18072713101449495"/>
    <n v="34.680999999999997"/>
    <n v="10.013"/>
    <n v="48.868000000000002"/>
    <n v="317.03199999999998"/>
    <n v="-622.01"/>
    <n v="52.838666666666661"/>
    <n v="-103.66833333333335"/>
    <n v="-0.66238783781769084"/>
    <m/>
    <n v="-76.998000000000005"/>
    <n v="120.76600000000001"/>
    <n v="5.3609999999999998"/>
    <n v="0"/>
    <n v="49.128999999999998"/>
    <n v="-3.9119999999999999"/>
    <n v="117.40600000000001"/>
    <n v="2.5659999999999998"/>
    <n v="0"/>
    <n v="116.06"/>
    <n v="1.2789999999999999"/>
    <n v="24.734999999999999"/>
    <n v="0.74299999999999999"/>
    <n v="0"/>
    <n v="26.756999999999998"/>
    <n v="906.03099999999995"/>
    <n v="151.00516666666667"/>
    <n v="366"/>
    <n v="78"/>
    <n v="1452"/>
    <n v="492"/>
    <n v="2388"/>
    <n v="8036"/>
    <n v="245.25716666666665"/>
    <n v="1471.5429999999999"/>
    <n v="32.765607257144374"/>
    <n v="5.4609345428573954"/>
    <m/>
    <n v="581"/>
    <m/>
    <n v="325"/>
    <n v="325"/>
    <n v="24"/>
    <m/>
    <n v="24"/>
    <m/>
    <n v="136"/>
    <n v="136"/>
    <m/>
    <n v="211"/>
    <n v="211"/>
    <n v="2418"/>
    <n v="2418"/>
    <n v="1"/>
    <n v="1277"/>
    <n v="14.494947010771892"/>
    <n v="2.4158245017953148"/>
    <m/>
    <n v="3665"/>
    <n v="366.5"/>
    <n v="0.15347571189279732"/>
    <n v="4.1600611428722774"/>
    <n v="0.69334352381204611"/>
    <n v="27.105664417950884"/>
    <n v="4.5176107363251461"/>
    <n v="47.260554267916262"/>
    <n v="51.420615410788542"/>
    <n v="74.366218685867153"/>
    <n v="7.8767590446527098"/>
    <n v="8.5701025684647565"/>
    <n v="12.394369780977856"/>
    <n v="4"/>
    <n v="4.7260554267916266"/>
    <n v="416.36390774853334"/>
    <n v="0.17435674528833053"/>
    <n v="323"/>
    <m/>
    <m/>
    <n v="0"/>
    <m/>
    <m/>
    <n v="0"/>
    <m/>
    <m/>
    <n v="73.708871062500009"/>
    <n v="30.332868750000003"/>
    <n v="2.4300000000000002"/>
    <n v="188.83420893749997"/>
    <n v="94.095131249999994"/>
    <n v="2.0068435680884389"/>
    <n v="262.54307999999997"/>
    <n v="124.428"/>
    <n v="2.11"/>
    <n v="0"/>
    <m/>
    <m/>
    <n v="0"/>
    <m/>
    <m/>
    <n v="507.61513599999995"/>
    <n v="12.2494"/>
    <n v="41.44"/>
    <n v="1432.3007640000001"/>
    <n v="36.676600000000001"/>
    <n v="39.05216852161869"/>
    <n v="1939.9159"/>
    <n v="48.926000000000002"/>
    <n v="39.65"/>
    <n v="36.980573600000007"/>
    <n v="3.5799200000000004"/>
    <n v="10.33"/>
    <n v="53.452318237500002"/>
    <n v="3.7615987500000001"/>
    <n v="14.21"/>
    <n v="55.978964125000005"/>
    <n v="4.4926937499999999"/>
    <n v="12.46"/>
    <n v="68.375924037499971"/>
    <n v="4.0877874999999992"/>
    <n v="16.726878302137766"/>
    <n v="214.78778"/>
    <n v="15.922000000000001"/>
    <n v="13.49"/>
    <n v="43.2"/>
    <n v="2.52"/>
    <n v="5.04"/>
    <n v="1.99"/>
    <n v="2.15"/>
    <n v="2.88"/>
    <n v="3.04"/>
    <n v="4.0199999999999996"/>
    <n v="5"/>
    <n v="5.04"/>
    <n v="6.05"/>
    <n v="33.35"/>
    <n v="45.46"/>
    <n v="44.85"/>
    <n v="49.14"/>
  </r>
  <r>
    <x v="14"/>
    <s v="RRC"/>
    <x v="0"/>
    <n v="90.62"/>
    <n v="4.5049999999999999"/>
    <n v="0"/>
    <n v="19.608333333333334"/>
    <n v="117.65"/>
    <n v="0"/>
    <n v="0"/>
    <n v="0"/>
    <n v="0"/>
    <n v="0"/>
    <n v="19.608333333333334"/>
    <n v="117.65"/>
    <n v="1"/>
    <n v="0.77025074373140667"/>
    <n v="0.22974925626859327"/>
    <n v="0"/>
    <n v="19.645"/>
    <n v="0"/>
    <n v="688.08799999999997"/>
    <n v="805.95799999999997"/>
    <m/>
    <n v="134.32633333333334"/>
    <m/>
    <m/>
    <m/>
    <n v="-0.38600000000000001"/>
    <n v="401.80500000000001"/>
    <n v="121.38200000000001"/>
    <n v="0"/>
    <n v="522.80099999999993"/>
    <n v="2.4319999999999999"/>
    <n v="13.741"/>
    <n v="1.9339999999999999"/>
    <n v="0"/>
    <n v="18.106999999999999"/>
    <n v="0"/>
    <n v="0"/>
    <n v="0"/>
    <n v="0"/>
    <n v="0"/>
    <n v="631.44299999999998"/>
    <n v="105.24049999999998"/>
    <n v="82.646999999999991"/>
    <n v="253.06399999999999"/>
    <n v="82.876000000000005"/>
    <n v="751.20499999999993"/>
    <n v="1169.7919999999999"/>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m/>
    <m/>
    <m/>
    <m/>
    <m/>
    <m/>
    <m/>
    <m/>
    <m/>
    <m/>
    <m/>
    <m/>
    <m/>
    <m/>
    <m/>
    <m/>
    <m/>
    <m/>
    <m/>
    <m/>
    <m/>
    <m/>
    <m/>
    <m/>
    <m/>
    <m/>
    <m/>
    <m/>
    <m/>
    <m/>
    <m/>
    <m/>
    <m/>
    <m/>
    <m/>
    <m/>
    <m/>
    <m/>
    <m/>
    <m/>
    <m/>
    <m/>
    <m/>
    <m/>
    <m/>
    <m/>
    <m/>
    <m/>
    <m/>
    <n v="72.34"/>
    <n v="6.97"/>
    <n v="12.91"/>
    <m/>
    <m/>
    <m/>
    <m/>
    <m/>
    <m/>
    <m/>
    <m/>
    <m/>
    <m/>
    <m/>
    <m/>
  </r>
  <r>
    <x v="14"/>
    <s v="RRC"/>
    <x v="1"/>
    <n v="114.32299999999999"/>
    <n v="3.085"/>
    <n v="1.3859999999999999"/>
    <n v="23.524833333333333"/>
    <n v="141.149"/>
    <n v="0"/>
    <n v="0"/>
    <n v="0"/>
    <n v="0"/>
    <n v="0"/>
    <n v="23.524833333333333"/>
    <n v="141.149"/>
    <n v="1"/>
    <n v="0.80994551856548747"/>
    <n v="0.13113801727252761"/>
    <n v="5.8916464161984851E-2"/>
    <n v="24.327000000000002"/>
    <n v="0"/>
    <n v="875.56700000000001"/>
    <n v="1021.529"/>
    <n v="215.57100000000003"/>
    <n v="170.25483333333332"/>
    <n v="35.928499999999985"/>
    <n v="0.26747175411125629"/>
    <m/>
    <n v="-23.396999999999998"/>
    <n v="423.35399999999998"/>
    <n v="95.262"/>
    <n v="0"/>
    <n v="495.21899999999999"/>
    <n v="-4.9459999999999997"/>
    <n v="10.198"/>
    <n v="0"/>
    <n v="0"/>
    <n v="5.2520000000000007"/>
    <n v="1.7909999999999999"/>
    <n v="5.6429999999999998"/>
    <n v="5.2999999999999999E-2"/>
    <n v="0"/>
    <n v="7.4869999999999992"/>
    <n v="571.65300000000002"/>
    <n v="95.275499999999994"/>
    <n v="593.78700000000003"/>
    <n v="251.471"/>
    <n v="196.67600000000002"/>
    <n v="776.32400000000007"/>
    <n v="1818.258"/>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m/>
    <m/>
    <m/>
    <m/>
    <m/>
    <m/>
    <m/>
    <m/>
    <m/>
    <m/>
    <m/>
    <m/>
    <m/>
    <m/>
    <m/>
    <m/>
    <m/>
    <m/>
    <m/>
    <m/>
    <m/>
    <m/>
    <m/>
    <m/>
    <m/>
    <m/>
    <m/>
    <m/>
    <m/>
    <m/>
    <m/>
    <m/>
    <m/>
    <m/>
    <m/>
    <m/>
    <m/>
    <m/>
    <m/>
    <m/>
    <m/>
    <m/>
    <m/>
    <m/>
    <m/>
    <m/>
    <m/>
    <m/>
    <m/>
    <n v="99.67"/>
    <n v="8.86"/>
    <n v="15.2"/>
    <m/>
    <m/>
    <m/>
    <m/>
    <m/>
    <m/>
    <m/>
    <m/>
    <m/>
    <m/>
    <m/>
    <m/>
  </r>
  <r>
    <x v="14"/>
    <s v="RRC"/>
    <x v="2"/>
    <n v="130.649"/>
    <n v="2.5569999999999999"/>
    <n v="2.1869999999999998"/>
    <n v="26.518833333333333"/>
    <n v="159.113"/>
    <n v="0"/>
    <n v="0"/>
    <n v="0"/>
    <n v="0"/>
    <n v="0"/>
    <n v="26.518833333333333"/>
    <n v="159.113"/>
    <n v="1"/>
    <n v="0.82110826896608069"/>
    <n v="9.6422039682489802E-2"/>
    <n v="8.246969135142948E-2"/>
    <n v="13.457000000000001"/>
    <n v="25.382000000000001"/>
    <n v="1169.0119999999999"/>
    <n v="1402.0459999999998"/>
    <n v="380.51699999999983"/>
    <n v="233.67433333333332"/>
    <n v="63.419499999999999"/>
    <n v="0.372497501294628"/>
    <m/>
    <n v="-37.497"/>
    <n v="620.11400000000003"/>
    <n v="0"/>
    <n v="0"/>
    <n v="582.61700000000008"/>
    <n v="-1.536"/>
    <n v="3.4790000000000001"/>
    <n v="0"/>
    <n v="0"/>
    <n v="1.9430000000000001"/>
    <n v="8.4339999999999993"/>
    <n v="21.492000000000001"/>
    <n v="0"/>
    <n v="0"/>
    <n v="29.926000000000002"/>
    <n v="773.83100000000013"/>
    <n v="128.97183333333334"/>
    <n v="176.86699999999999"/>
    <n v="0"/>
    <n v="99.203000000000003"/>
    <n v="527.226"/>
    <n v="803.29600000000005"/>
    <n v="3791.3460000000005"/>
    <n v="329.4878333333333"/>
    <n v="1976.9270000000001"/>
    <n v="11.506786037117205"/>
    <n v="1.9177976728528672"/>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35"/>
    <n v="0"/>
    <n v="115"/>
    <n v="115"/>
    <n v="0"/>
    <n v="0.17"/>
    <n v="0.17"/>
    <n v="0"/>
    <n v="26"/>
    <n v="26"/>
    <n v="0"/>
    <n v="108.685"/>
    <n v="108.685"/>
    <n v="751.74900000000002"/>
    <n v="751.74900000000002"/>
    <n v="1"/>
    <n v="384.85500000000002"/>
    <n v="14.512516262027617"/>
    <n v="2.418752710337936"/>
    <s v="G&amp;A Excludes deferred compensation plan. LOE excludes &quot;Brokered Natural Gas and Marketing&quot;"/>
    <n v="1188.1510000000001"/>
    <n v="118.81510000000002"/>
    <n v="0.14790948790981159"/>
    <n v="4.4804044924047695"/>
    <n v="0.74673408206746161"/>
    <n v="30.291528662020077"/>
    <n v="5.048588110336679"/>
    <n v="26.019302299144822"/>
    <n v="30.499706791549592"/>
    <n v="56.310830961164896"/>
    <n v="4.3365503831908034"/>
    <n v="5.0832844652582647"/>
    <n v="9.3851384935274815"/>
    <n v="4"/>
    <n v="2.6019302299144824"/>
    <n v="69.000154112063839"/>
    <n v="8.5896299884555424E-2"/>
    <n v="8"/>
    <m/>
    <m/>
    <m/>
    <m/>
    <m/>
    <m/>
    <m/>
    <m/>
    <m/>
    <m/>
    <m/>
    <m/>
    <m/>
    <m/>
    <m/>
    <m/>
    <m/>
    <m/>
    <m/>
    <m/>
    <m/>
    <m/>
    <m/>
    <m/>
    <m/>
    <m/>
    <m/>
    <m/>
    <m/>
    <m/>
    <m/>
    <m/>
    <m/>
    <m/>
    <m/>
    <m/>
    <m/>
    <m/>
    <m/>
    <m/>
    <m/>
    <m/>
    <m/>
    <m/>
    <m/>
    <m/>
    <m/>
    <n v="61.95"/>
    <n v="3.94"/>
    <n v="8.99"/>
    <m/>
    <m/>
    <m/>
    <m/>
    <m/>
    <m/>
    <m/>
    <m/>
    <m/>
    <m/>
    <m/>
    <m/>
  </r>
  <r>
    <x v="14"/>
    <s v="RRC"/>
    <x v="3"/>
    <n v="142.03399999999999"/>
    <n v="1.9690000000000001"/>
    <n v="4.49"/>
    <n v="30.13133333333333"/>
    <n v="180.78799999999998"/>
    <n v="0"/>
    <n v="0"/>
    <n v="0"/>
    <n v="0"/>
    <n v="0"/>
    <n v="30.13133333333333"/>
    <n v="180.78799999999998"/>
    <n v="1"/>
    <n v="0.7856384273292476"/>
    <n v="6.5347257561342575E-2"/>
    <n v="0.14901431510940993"/>
    <n v="6.1890000000000001"/>
    <n v="69.650999999999996"/>
    <n v="1803.76"/>
    <n v="2258.8000000000002"/>
    <n v="856.75400000000036"/>
    <n v="376.4666666666667"/>
    <n v="142.79233333333337"/>
    <n v="0.61107410170565035"/>
    <m/>
    <n v="3.5990000000000002"/>
    <n v="1089.6320000000001"/>
    <n v="124.98099999999999"/>
    <n v="0"/>
    <n v="1218.212"/>
    <n v="-2.6720000000000002"/>
    <n v="4.6630000000000003"/>
    <n v="0"/>
    <n v="0"/>
    <n v="1.9910000000000001"/>
    <n v="26.832000000000001"/>
    <n v="48.792000000000002"/>
    <n v="0"/>
    <n v="0"/>
    <n v="75.623999999999995"/>
    <n v="1683.9019999999998"/>
    <n v="280.65033333333338"/>
    <n v="155.26900000000001"/>
    <n v="130.767"/>
    <n v="110.94"/>
    <n v="747.34699999999998"/>
    <n v="1144.3229999999999"/>
    <n v="3765.877"/>
    <n v="504.89766666666674"/>
    <n v="3029.386"/>
    <n v="7.458693609860215"/>
    <n v="1.243115601643369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59"/>
    <n v="0"/>
    <n v="141"/>
    <n v="141"/>
    <n v="0"/>
    <n v="-1.359"/>
    <n v="-1.359"/>
    <n v="0"/>
    <n v="26"/>
    <n v="26"/>
    <n v="0"/>
    <n v="116.76600000000001"/>
    <n v="116.76600000000001"/>
    <n v="823.29"/>
    <n v="823.29"/>
    <n v="1"/>
    <n v="441.40700000000004"/>
    <n v="14.649434696993167"/>
    <n v="2.4415724494988611"/>
    <s v="G&amp;A Excludes deferred compensation plan. LOE excludes &quot;Brokered Natural Gas and Marketing&quot;"/>
    <n v="1585.73"/>
    <n v="158.57300000000001"/>
    <n v="0.13857363698885719"/>
    <n v="5.2627276146646906"/>
    <n v="0.87712126911078181"/>
    <n v="37.977841449653738"/>
    <n v="6.3296402416089563"/>
    <n v="22.108128306853381"/>
    <n v="27.370855921518071"/>
    <n v="60.085969756507119"/>
    <n v="3.6846880511422304"/>
    <n v="4.5618093202530119"/>
    <n v="10.014328292751188"/>
    <n v="4"/>
    <n v="2.2108128306853381"/>
    <n v="66.614738338990136"/>
    <n v="5.8213230302100148E-2"/>
    <n v="11"/>
    <m/>
    <m/>
    <m/>
    <m/>
    <m/>
    <m/>
    <m/>
    <m/>
    <m/>
    <m/>
    <m/>
    <m/>
    <m/>
    <m/>
    <m/>
    <m/>
    <m/>
    <m/>
    <m/>
    <m/>
    <m/>
    <m/>
    <m/>
    <m/>
    <m/>
    <m/>
    <m/>
    <m/>
    <m/>
    <m/>
    <m/>
    <m/>
    <m/>
    <m/>
    <m/>
    <m/>
    <m/>
    <m/>
    <m/>
    <m/>
    <m/>
    <m/>
    <m/>
    <m/>
    <m/>
    <m/>
    <m/>
    <n v="79.48"/>
    <n v="4.37"/>
    <n v="11.83"/>
    <m/>
    <m/>
    <m/>
    <m/>
    <m/>
    <m/>
    <m/>
    <m/>
    <m/>
    <m/>
    <m/>
    <m/>
  </r>
  <r>
    <x v="14"/>
    <s v="RRC"/>
    <x v="4"/>
    <n v="157.001"/>
    <n v="1.968"/>
    <n v="5.5730000000000004"/>
    <n v="33.707833333333333"/>
    <n v="202.24700000000001"/>
    <n v="0"/>
    <n v="0"/>
    <n v="0"/>
    <n v="0"/>
    <n v="0"/>
    <n v="33.707833333333333"/>
    <n v="202.24700000000001"/>
    <n v="1"/>
    <n v="0.77628345537881893"/>
    <n v="5.8384055140496521E-2"/>
    <n v="0.16533248948068452"/>
    <n v="13.66"/>
    <n v="78.043000000000006"/>
    <n v="2102.4670000000001"/>
    <n v="2652.6850000000004"/>
    <n v="393.88500000000022"/>
    <n v="442.11416666666673"/>
    <n v="65.647500000000036"/>
    <n v="0.17437798831237833"/>
    <m/>
    <n v="73.643000000000001"/>
    <n v="1304.3240000000001"/>
    <n v="0"/>
    <n v="0"/>
    <n v="1377.9670000000001"/>
    <n v="6.5220000000000002"/>
    <n v="4.915"/>
    <n v="0"/>
    <n v="0"/>
    <n v="11.437000000000001"/>
    <n v="18.626999999999999"/>
    <n v="26.591000000000001"/>
    <n v="0"/>
    <n v="0"/>
    <n v="45.218000000000004"/>
    <n v="1717.8970000000002"/>
    <n v="286.31616666666667"/>
    <n v="220.57900000000001"/>
    <n v="0"/>
    <n v="304.17899999999997"/>
    <n v="1064.5439999999999"/>
    <n v="1589.3019999999999"/>
    <n v="3536.9209999999998"/>
    <n v="695.93833333333339"/>
    <n v="4175.63"/>
    <n v="5.0822333396397665"/>
    <n v="0.8470388899399611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234"/>
    <n v="0"/>
    <n v="151.19999999999999"/>
    <n v="151.19999999999999"/>
    <n v="0"/>
    <n v="0.67500000000000004"/>
    <n v="0.67500000000000004"/>
    <n v="0"/>
    <n v="27.7"/>
    <n v="27.7"/>
    <n v="0"/>
    <n v="133.10300000000001"/>
    <n v="133.10300000000001"/>
    <n v="1173.2660000000001"/>
    <n v="1173.2660000000001"/>
    <n v="1"/>
    <n v="546.678"/>
    <n v="16.218129317122134"/>
    <n v="2.7030215528536887"/>
    <s v="G&amp;A Excludes deferred compensation plan. LOE excludes &quot;Brokered Natural Gas and Marketing&quot;"/>
    <n v="2135.98"/>
    <n v="213.59800000000001"/>
    <n v="0.13439736437756955"/>
    <n v="6.336746651371838"/>
    <n v="1.0561244418953062"/>
    <n v="47.149337196596235"/>
    <n v="7.8582228660993723"/>
    <n v="21.300362656761902"/>
    <n v="27.637109308133738"/>
    <n v="68.44969985335814"/>
    <n v="3.55006044279365"/>
    <n v="4.6061848846889557"/>
    <n v="11.408283308893022"/>
    <n v="4"/>
    <n v="2.13003626567619"/>
    <n v="71.798907437368726"/>
    <n v="4.5176377703777339E-2"/>
    <n v="10"/>
    <m/>
    <m/>
    <m/>
    <m/>
    <m/>
    <m/>
    <m/>
    <m/>
    <m/>
    <m/>
    <m/>
    <m/>
    <m/>
    <m/>
    <m/>
    <m/>
    <m/>
    <m/>
    <m/>
    <m/>
    <m/>
    <m/>
    <m/>
    <m/>
    <m/>
    <m/>
    <m/>
    <m/>
    <m/>
    <m/>
    <m/>
    <m/>
    <m/>
    <m/>
    <m/>
    <m/>
    <m/>
    <m/>
    <m/>
    <m/>
    <m/>
    <m/>
    <m/>
    <m/>
    <m/>
    <m/>
    <m/>
    <n v="94.88"/>
    <n v="4"/>
    <n v="15.12"/>
    <m/>
    <m/>
    <m/>
    <m/>
    <m/>
    <m/>
    <m/>
    <m/>
    <m/>
    <m/>
    <m/>
    <m/>
  </r>
  <r>
    <x v="14"/>
    <s v="RRC"/>
    <x v="5"/>
    <n v="216.55500000000001"/>
    <n v="2.851"/>
    <n v="6.9690000000000003"/>
    <n v="45.912500000000001"/>
    <n v="275.47500000000002"/>
    <n v="0"/>
    <n v="0"/>
    <n v="0"/>
    <n v="0"/>
    <n v="0"/>
    <n v="45.912500000000001"/>
    <n v="275.47500000000002"/>
    <n v="1"/>
    <n v="0.78611489245848076"/>
    <n v="6.2096378981758779E-2"/>
    <n v="0.15178872855976042"/>
    <n v="19.414999999999999"/>
    <n v="85.415000000000006"/>
    <n v="2419.0720000000001"/>
    <n v="3048.0520000000001"/>
    <n v="395.36699999999973"/>
    <n v="508.00866666666673"/>
    <n v="65.894499999999994"/>
    <n v="0.14904408175113137"/>
    <m/>
    <n v="76.924999999999997"/>
    <n v="996.05899999999997"/>
    <n v="0"/>
    <n v="0"/>
    <n v="1072.9839999999999"/>
    <n v="2.3159999999999998"/>
    <n v="15.131"/>
    <n v="0"/>
    <n v="0"/>
    <n v="17.446999999999999"/>
    <n v="3.036"/>
    <n v="113.392"/>
    <n v="0"/>
    <n v="0"/>
    <n v="116.428"/>
    <n v="1876.2339999999999"/>
    <n v="312.70566666666662"/>
    <n v="188.84299999999999"/>
    <n v="0"/>
    <n v="375.57399999999996"/>
    <n v="1094.213"/>
    <n v="1658.6299999999999"/>
    <n v="4392.2550000000001"/>
    <n v="879.67216666666661"/>
    <n v="5278.0329999999994"/>
    <n v="4.9930589672326802"/>
    <n v="0.83217649453877995"/>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08.34500000000003"/>
    <n v="0"/>
    <n v="173.8"/>
    <n v="173.8"/>
    <n v="0"/>
    <n v="0.38600000000000001"/>
    <n v="0.38600000000000001"/>
    <n v="0"/>
    <n v="43.099999999999994"/>
    <n v="43.099999999999994"/>
    <n v="0"/>
    <n v="153.249"/>
    <n v="153.249"/>
    <n v="1351.694"/>
    <n v="1351.694"/>
    <n v="1"/>
    <n v="678.88"/>
    <n v="14.786387149469098"/>
    <n v="2.4643978582448498"/>
    <s v="G&amp;A Excludes deferred compensation plan. LOE excludes &quot;Brokered Natural Gas and Marketing&quot;"/>
    <n v="2337.5099999999998"/>
    <n v="233.75099999999998"/>
    <n v="0.14093016525686861"/>
    <n v="5.0912278791178869"/>
    <n v="0.84853797985298107"/>
    <n v="36.125891641709771"/>
    <n v="6.0209819402849618"/>
    <n v="19.779446116701777"/>
    <n v="24.870673995819665"/>
    <n v="55.905337758411548"/>
    <n v="3.2965743527836295"/>
    <n v="4.1451123326366108"/>
    <n v="9.3175562930685913"/>
    <n v="4"/>
    <n v="1.9779446116701778"/>
    <n v="90.812381983307034"/>
    <n v="5.4751440636734559E-2"/>
    <n v="11.395"/>
    <m/>
    <m/>
    <n v="186.99833000000001"/>
    <n v="46.633000000000003"/>
    <n v="4.01"/>
    <n v="191.39238"/>
    <n v="52.292999999999999"/>
    <n v="3.66"/>
    <n v="222.50636"/>
    <n v="57.347000000000001"/>
    <n v="3.88"/>
    <n v="72.588979999999964"/>
    <n v="60.281999999999989"/>
    <n v="1.2041567963902986"/>
    <n v="673.48604999999998"/>
    <n v="216.55500000000001"/>
    <n v="3.11"/>
    <n v="50.798752579999999"/>
    <n v="0.60807699999999998"/>
    <n v="83.54"/>
    <n v="52.527322059999996"/>
    <n v="0.62302599999999997"/>
    <n v="84.31"/>
    <n v="60.493129879999998"/>
    <n v="0.71285799999999999"/>
    <n v="84.86"/>
    <n v="74.638435480000012"/>
    <n v="0.90703900000000037"/>
    <n v="82.28801129830137"/>
    <n v="238.45764"/>
    <n v="2.851"/>
    <n v="83.64"/>
    <n v="69.784530459999999"/>
    <n v="1.560826"/>
    <n v="44.71"/>
    <n v="66.436083899999986"/>
    <n v="1.5705929999999999"/>
    <n v="42.3"/>
    <n v="71.515842929999991"/>
    <n v="1.8436669999999999"/>
    <n v="38.79"/>
    <n v="78.119552709999979"/>
    <n v="1.991914"/>
    <n v="39.218336087802975"/>
    <n v="285.85600999999997"/>
    <n v="6.9669999999999996"/>
    <n v="41.03"/>
    <n v="94.05"/>
    <n v="2.75"/>
    <n v="10.98"/>
    <n v="2.41"/>
    <n v="2.2799999999999998"/>
    <n v="2.88"/>
    <n v="3.4"/>
    <n v="13.14"/>
    <n v="10.75"/>
    <n v="9.9600000000000009"/>
    <n v="10.08"/>
    <n v="102.98"/>
    <n v="93.29"/>
    <n v="92.17"/>
    <n v="88.01"/>
  </r>
  <r>
    <x v="14"/>
    <s v="RRC"/>
    <x v="6"/>
    <n v="264.52800000000002"/>
    <n v="3.827"/>
    <n v="9.2539999999999996"/>
    <n v="57.168999999999997"/>
    <n v="343.01400000000001"/>
    <n v="0"/>
    <n v="0"/>
    <n v="0"/>
    <n v="0"/>
    <n v="0"/>
    <n v="57.168999999999997"/>
    <n v="343.01400000000001"/>
    <n v="1"/>
    <n v="0.77118718186429713"/>
    <n v="6.6941874092602632E-2"/>
    <n v="0.16187094404310029"/>
    <n v="22.306000000000001"/>
    <n v="167.935"/>
    <n v="2868.1619999999998"/>
    <n v="4009.6079999999997"/>
    <n v="961.55599999999959"/>
    <n v="668.26800000000003"/>
    <n v="160.2593333333333"/>
    <n v="0.31546574664736682"/>
    <m/>
    <n v="384.82499999999999"/>
    <n v="853.74599999999998"/>
    <n v="0"/>
    <n v="0"/>
    <n v="1238.5709999999999"/>
    <n v="2.9350000000000001"/>
    <n v="10.723000000000001"/>
    <n v="0"/>
    <n v="0"/>
    <n v="13.658000000000001"/>
    <n v="7.7430000000000003"/>
    <n v="135.81"/>
    <n v="0"/>
    <n v="0"/>
    <n v="143.553"/>
    <n v="2181.837"/>
    <n v="363.6395"/>
    <n v="137.53800000000001"/>
    <n v="0"/>
    <n v="254.15099999999998"/>
    <n v="985.75400000000002"/>
    <n v="1377.443"/>
    <n v="4625.375"/>
    <n v="962.66133333333323"/>
    <n v="5775.9680000000008"/>
    <n v="4.8047790430971924"/>
    <n v="0.80079650718286521"/>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84.29999999999995"/>
    <n v="0"/>
    <n v="291.2"/>
    <n v="291.2"/>
    <n v="0"/>
    <n v="-0.34699999999999998"/>
    <n v="-0.34699999999999998"/>
    <n v="0"/>
    <n v="45.24"/>
    <n v="45.24"/>
    <n v="0"/>
    <n v="176.55"/>
    <n v="176.55"/>
    <n v="1715.6759999999999"/>
    <n v="1715.6759999999999"/>
    <n v="1"/>
    <n v="896.94299999999998"/>
    <n v="15.689324633979954"/>
    <n v="2.614887438996659"/>
    <s v="G&amp;A Excludes deferred compensation plan. LOE excludes &quot;Brokered Natural Gas and Marketing&quot;"/>
    <n v="2274.386"/>
    <n v="227.43860000000001"/>
    <n v="0.16511652387793907"/>
    <n v="3.9783554024034009"/>
    <n v="0.66305923373390008"/>
    <n v="24.09422939005405"/>
    <n v="4.0157048983423413"/>
    <n v="20.494103677077145"/>
    <n v="24.472459079480547"/>
    <n v="44.588333067131195"/>
    <n v="3.4156839461795241"/>
    <n v="4.0787431799134239"/>
    <n v="7.4313888445218659"/>
    <n v="4"/>
    <n v="2.0494103677077145"/>
    <n v="117.16274131148232"/>
    <n v="8.5058141288955197E-2"/>
    <n v="6.9640000000000004"/>
    <m/>
    <m/>
    <n v="253.67815999999999"/>
    <n v="62.024000000000001"/>
    <n v="4.09"/>
    <n v="272.68920000000003"/>
    <n v="64.926000000000002"/>
    <n v="4.2"/>
    <n v="263.93700000000001"/>
    <n v="68.025000000000006"/>
    <n v="3.88"/>
    <n v="275.31664000000012"/>
    <n v="69.553000000000026"/>
    <n v="3.9583718890630171"/>
    <n v="1065.6210000000001"/>
    <n v="264.52800000000002"/>
    <n v="4"/>
    <n v="77.996094519999986"/>
    <n v="0.91266199999999997"/>
    <n v="85.46"/>
    <n v="73.561751529999995"/>
    <n v="0.86451699999999998"/>
    <n v="85.09"/>
    <n v="86.999390980000001"/>
    <n v="1.0180130000000001"/>
    <n v="85.46"/>
    <n v="85.589662970000063"/>
    <n v="1.0318080000000003"/>
    <n v="82.951152704766812"/>
    <n v="324.14690000000002"/>
    <n v="3.827"/>
    <n v="84.7"/>
    <n v="63.503540639999997"/>
    <n v="1.889424"/>
    <n v="33.61"/>
    <n v="69.620742989999997"/>
    <n v="2.1154890000000002"/>
    <n v="32.909999999999997"/>
    <n v="73.4215272"/>
    <n v="2.3623400000000001"/>
    <n v="31.08"/>
    <n v="63.475239170000052"/>
    <n v="1.887747000000001"/>
    <n v="33.624865604342119"/>
    <n v="270.02105000000006"/>
    <n v="8.2550000000000008"/>
    <n v="32.71"/>
    <n v="97.98"/>
    <n v="3.73"/>
    <n v="9.94"/>
    <n v="3.49"/>
    <n v="4.01"/>
    <n v="3.56"/>
    <n v="3.85"/>
    <n v="9.77"/>
    <n v="9.39"/>
    <n v="10.01"/>
    <n v="10.53"/>
    <n v="94.33"/>
    <n v="94.05"/>
    <n v="105.83"/>
    <n v="97.44"/>
  </r>
  <r>
    <x v="14"/>
    <s v="RRC"/>
    <x v="7"/>
    <n v="286.92599999999999"/>
    <n v="4.07"/>
    <n v="18.821000000000002"/>
    <n v="70.712000000000003"/>
    <n v="424.27200000000005"/>
    <n v="0"/>
    <n v="0"/>
    <n v="0"/>
    <n v="0"/>
    <n v="0"/>
    <n v="70.712000000000003"/>
    <n v="424.27200000000005"/>
    <n v="1"/>
    <n v="0.67627842516121728"/>
    <n v="5.7557415997284762E-2"/>
    <n v="0.26616415884149791"/>
    <n v="24.478000000000002"/>
    <n v="245.636"/>
    <n v="3339.7849999999999"/>
    <n v="4960.4690000000001"/>
    <n v="950.86100000000033"/>
    <n v="826.74483333333319"/>
    <n v="158.47683333333316"/>
    <n v="0.23714562620585328"/>
    <m/>
    <n v="-30.565999999999999"/>
    <n v="1393.1079999999999"/>
    <n v="262.81299999999999"/>
    <n v="0"/>
    <n v="1625.355"/>
    <n v="515"/>
    <n v="12.936"/>
    <n v="0"/>
    <n v="0"/>
    <n v="527.93600000000004"/>
    <n v="19.716000000000001"/>
    <n v="154.66399999999999"/>
    <n v="0"/>
    <n v="0"/>
    <n v="174.38"/>
    <n v="5839.2509999999993"/>
    <n v="973.20850000000007"/>
    <n v="630.72699999999998"/>
    <n v="0"/>
    <n v="244.47299999999998"/>
    <n v="1133.0329999999999"/>
    <n v="2008.2329999999997"/>
    <n v="5044.3059999999996"/>
    <n v="1649.5536666666667"/>
    <n v="9897.3220000000001"/>
    <n v="3.0579823511855024"/>
    <n v="0.50966372519758374"/>
    <m/>
    <n v="475.8"/>
    <n v="0"/>
    <n v="213.4"/>
    <n v="213.4"/>
    <n v="0"/>
    <n v="-0.156"/>
    <n v="-0.156"/>
    <n v="0"/>
    <n v="44.555"/>
    <n v="44.555"/>
    <n v="0"/>
    <n v="167.977"/>
    <n v="167.977"/>
    <n v="1911.989"/>
    <n v="1911.989"/>
    <n v="1"/>
    <n v="901.57600000000002"/>
    <n v="12.749971716257495"/>
    <n v="2.1249952860429158"/>
    <m/>
    <n v="2909.8089999999997"/>
    <n v="290.98089999999996"/>
    <n v="0.14489399387421678"/>
    <n v="4.1150144247086766"/>
    <n v="0.6858357374514461"/>
    <n v="28.400172530829273"/>
    <n v="4.7333620884715453"/>
    <n v="15.807954067442997"/>
    <n v="19.922968492151675"/>
    <n v="44.208126598272273"/>
    <n v="2.6346590112404993"/>
    <n v="3.3204947486919454"/>
    <n v="7.3680210997120446"/>
    <n v="4"/>
    <n v="1.5807954067442997"/>
    <n v="111.78120480170293"/>
    <n v="5.566147195156286E-2"/>
    <n v="2.996"/>
    <m/>
    <m/>
    <n v="260.47559999999999"/>
    <n v="62.018000000000001"/>
    <n v="4.2"/>
    <n v="262.91656"/>
    <n v="67.762"/>
    <n v="3.88"/>
    <n v="274.66395"/>
    <n v="75.665000000000006"/>
    <n v="3.63"/>
    <n v="347.61888999999996"/>
    <n v="81.48099999999998"/>
    <n v="4.2662570415188821"/>
    <n v="1145.675"/>
    <n v="286.92599999999999"/>
    <n v="3.79"/>
    <n v="84.912944350000004"/>
    <n v="1.035145"/>
    <n v="82.03"/>
    <n v="79.792173669999997"/>
    <n v="0.98960899999999996"/>
    <n v="80.63"/>
    <n v="77.503698"/>
    <n v="0.98529999999999995"/>
    <n v="78.66"/>
    <n v="82.373683980000038"/>
    <n v="1.0599460000000001"/>
    <n v="77.714981687746388"/>
    <n v="324.58250000000004"/>
    <n v="4.07"/>
    <n v="79.75"/>
    <n v="113.35204335"/>
    <n v="4.4714809999999998"/>
    <n v="25.35"/>
    <n v="108.82058636000001"/>
    <n v="4.4708540000000001"/>
    <n v="24.34"/>
    <n v="111.18289146000001"/>
    <n v="4.934882"/>
    <n v="22.53"/>
    <n v="124.18298883000003"/>
    <n v="4.9437830000000007"/>
    <n v="25.119020966332869"/>
    <n v="457.53851000000003"/>
    <n v="18.821000000000002"/>
    <n v="24.31"/>
    <n v="93.17"/>
    <n v="4.37"/>
    <n v="9.56"/>
    <n v="5.21"/>
    <n v="4.6100000000000003"/>
    <n v="3.96"/>
    <n v="3.8"/>
    <n v="11.19"/>
    <n v="10.15"/>
    <n v="9.83"/>
    <n v="7.41"/>
    <n v="98.68"/>
    <n v="103.35"/>
    <n v="97.87"/>
    <n v="73.209999999999994"/>
  </r>
  <r>
    <x v="14"/>
    <s v="RRC"/>
    <x v="8"/>
    <n v="362.68700000000001"/>
    <n v="4.0839999999999996"/>
    <n v="20.356000000000002"/>
    <n v="84.887833333333333"/>
    <n v="509.32700000000006"/>
    <n v="0"/>
    <n v="0"/>
    <n v="0"/>
    <n v="0"/>
    <n v="0"/>
    <n v="84.887833333333333"/>
    <n v="509.32700000000006"/>
    <n v="1"/>
    <n v="0.71209066081319072"/>
    <n v="4.8110545877206583E-2"/>
    <n v="0.23979879330960269"/>
    <n v="21.513999999999999"/>
    <n v="239.828"/>
    <n v="2901.5329999999999"/>
    <n v="4469.585"/>
    <n v="-490.88400000000001"/>
    <n v="744.93083333333334"/>
    <n v="-81.813999999999851"/>
    <n v="-9.8959191157126314E-2"/>
    <m/>
    <n v="-340.286"/>
    <n v="1017.956"/>
    <n v="0"/>
    <n v="0"/>
    <n v="677.67000000000007"/>
    <n v="3.8039999999999998"/>
    <n v="4.9240000000000004"/>
    <n v="0"/>
    <n v="0"/>
    <n v="8.7279999999999998"/>
    <n v="17.716999999999999"/>
    <n v="36.308"/>
    <n v="0"/>
    <n v="0"/>
    <n v="54.024999999999999"/>
    <n v="1054.1880000000001"/>
    <n v="175.69800000000001"/>
    <n v="73.025000000000006"/>
    <n v="0"/>
    <n v="108.91099999999999"/>
    <n v="721.60500000000002"/>
    <n v="903.54099999999994"/>
    <n v="4289.2169999999996"/>
    <n v="1512.546"/>
    <n v="9075.2759999999998"/>
    <n v="2.8357597058205171"/>
    <n v="0.47262661763675284"/>
    <m/>
    <n v="533.10199999999998"/>
    <n v="0"/>
    <n v="194.01499999999999"/>
    <n v="194.01499999999999"/>
    <n v="0"/>
    <n v="0.1"/>
    <n v="0.1"/>
    <n v="0"/>
    <n v="33.86"/>
    <n v="33.86"/>
    <n v="0"/>
    <n v="166.43899999999999"/>
    <n v="166.43899999999999"/>
    <n v="1089.644"/>
    <n v="1089.644"/>
    <n v="1"/>
    <n v="927.51599999999996"/>
    <n v="10.926371466660907"/>
    <n v="1.8210619111101509"/>
    <m/>
    <n v="1831.0569999999998"/>
    <n v="183.10569999999998"/>
    <n v="0.2026534490410507"/>
    <n v="2.1570311410940319"/>
    <n v="0.35950519018233856"/>
    <n v="10.643939944279412"/>
    <n v="1.773989990713235"/>
    <n v="13.762131172481425"/>
    <n v="15.919162313575457"/>
    <n v="24.406071116760835"/>
    <n v="2.2936885287469035"/>
    <n v="2.6531937189292423"/>
    <n v="4.0676785194601388"/>
    <n v="4"/>
    <n v="1.3762131172481424"/>
    <n v="116.82374972810744"/>
    <n v="0.12929546055807922"/>
    <n v="4.1609999999999996"/>
    <m/>
    <m/>
    <n v="284.97012744"/>
    <n v="80.500035999999994"/>
    <n v="3.54"/>
    <n v="258.82512350000002"/>
    <n v="87.73733"/>
    <n v="2.95"/>
    <n v="269.44825703000004"/>
    <n v="97.273739000000006"/>
    <n v="2.77"/>
    <n v="300.20558203000007"/>
    <n v="97.175894999999997"/>
    <n v="3.0893009221062497"/>
    <n v="1113.4490900000001"/>
    <n v="362.68700000000001"/>
    <n v="3.07"/>
    <n v="72.961777600000005"/>
    <n v="1.13896"/>
    <n v="64.06"/>
    <n v="70.376338199999992"/>
    <n v="1.0894170000000001"/>
    <n v="64.599999999999994"/>
    <n v="73.095385000000007"/>
    <n v="0.95862800000000004"/>
    <n v="76.25"/>
    <n v="74.674019199999947"/>
    <n v="0.89699499999999954"/>
    <n v="83.24909191244096"/>
    <n v="291.10751999999997"/>
    <n v="4.0839999999999996"/>
    <n v="71.28"/>
    <n v="65.383167200000003"/>
    <n v="5.3592760000000004"/>
    <n v="12.2"/>
    <n v="50.89811619000001"/>
    <n v="5.1051270000000004"/>
    <n v="9.9700000000000006"/>
    <n v="47.109119399999997"/>
    <n v="4.9850919999999999"/>
    <n v="9.4499999999999993"/>
    <n v="55.029477210000024"/>
    <n v="4.9065050000000001"/>
    <n v="11.215616250263686"/>
    <n v="218.41988000000003"/>
    <n v="20.356000000000002"/>
    <n v="10.73"/>
    <n v="48.66"/>
    <n v="2.62"/>
    <n v="4.97"/>
    <n v="2.9"/>
    <n v="2.75"/>
    <n v="2.76"/>
    <n v="2.12"/>
    <n v="5.43"/>
    <n v="5.2"/>
    <n v="4.68"/>
    <n v="4.5999999999999996"/>
    <n v="48.49"/>
    <n v="57.85"/>
    <n v="46.64"/>
    <n v="41.94"/>
  </r>
  <r>
    <x v="14"/>
    <s v="RRC"/>
    <x v="9"/>
    <n v="375.81099999999998"/>
    <n v="3.609"/>
    <n v="27.826000000000001"/>
    <n v="94.070166666666665"/>
    <n v="564.42100000000005"/>
    <n v="0"/>
    <n v="0"/>
    <n v="0"/>
    <n v="0"/>
    <n v="0"/>
    <n v="94.070166666666665"/>
    <n v="564.42100000000005"/>
    <n v="1"/>
    <n v="0.66583454548997989"/>
    <n v="3.8364979332802994E-2"/>
    <n v="0.29580047517721703"/>
    <n v="31.143000000000001"/>
    <n v="266.214"/>
    <n v="3518.2750000000001"/>
    <n v="5302.4170000000004"/>
    <n v="832.83200000000033"/>
    <n v="883.73616666666669"/>
    <n v="138.80533333333335"/>
    <n v="0.1863331830583824"/>
    <m/>
    <n v="-30.565999999999999"/>
    <n v="1393.1079999999999"/>
    <n v="262.81299999999999"/>
    <n v="0"/>
    <n v="1625.355"/>
    <n v="0.51500000000000001"/>
    <n v="1.2999999999999999E-2"/>
    <n v="0"/>
    <n v="0"/>
    <n v="0.52800000000000002"/>
    <n v="19.716000000000001"/>
    <n v="154.66399999999999"/>
    <n v="0"/>
    <n v="0"/>
    <n v="174.38"/>
    <n v="2674.8029999999999"/>
    <n v="445.8005"/>
    <n v="33.142000000000003"/>
    <n v="0"/>
    <n v="70.004999999999995"/>
    <n v="501.39000000000004"/>
    <n v="604.53700000000003"/>
    <n v="3516.3109999999997"/>
    <n v="1594.7070000000001"/>
    <n v="9568.2419999999984"/>
    <n v="2.2049887534199071"/>
    <n v="0.36749812556998457"/>
    <m/>
    <n v="662.54699999999991"/>
    <n v="0"/>
    <n v="184.77199999999999"/>
    <n v="184.77199999999999"/>
    <n v="0"/>
    <n v="-0.10199999999999999"/>
    <n v="-0.10199999999999999"/>
    <n v="0"/>
    <n v="25.443000000000001"/>
    <n v="25.443000000000001"/>
    <n v="0"/>
    <n v="168.21299999999999"/>
    <n v="168.21299999999999"/>
    <n v="1197.2149999999999"/>
    <n v="1197.2149999999999"/>
    <n v="1"/>
    <n v="1040.873"/>
    <n v="11.064857615148977"/>
    <n v="1.8441429358581625"/>
    <m/>
    <n v="1645.41"/>
    <n v="164.54100000000003"/>
    <n v="0.27217688909032867"/>
    <n v="1.7491305249095979"/>
    <n v="0.29152175415159964"/>
    <n v="6.4264476339470011"/>
    <n v="1.0710746056578333"/>
    <n v="13.269846368568885"/>
    <n v="15.018976893478483"/>
    <n v="19.696294002515884"/>
    <n v="2.2116410614281472"/>
    <n v="2.503162815579747"/>
    <n v="3.2827156670859807"/>
    <n v="4"/>
    <n v="1.3269846368568885"/>
    <n v="124.82966595323364"/>
    <n v="0.20648804945476229"/>
    <n v="7.4119999999999999"/>
    <m/>
    <m/>
    <m/>
    <m/>
    <m/>
    <m/>
    <m/>
    <m/>
    <m/>
    <m/>
    <m/>
    <n v="1007.17348"/>
    <n v="375.81099999999998"/>
    <n v="2.68"/>
    <n v="1007.17348"/>
    <n v="375.81099999999998"/>
    <n v="2.68"/>
    <m/>
    <m/>
    <m/>
    <m/>
    <m/>
    <m/>
    <m/>
    <m/>
    <m/>
    <n v="172.58238"/>
    <n v="3.609"/>
    <n v="47.82"/>
    <n v="172.58238"/>
    <n v="3.609"/>
    <n v="47.82"/>
    <n v="61.06178148"/>
    <n v="5.9747339999999998"/>
    <n v="10.220000000000001"/>
    <n v="79.439018360000006"/>
    <n v="6.8659480000000004"/>
    <n v="11.57"/>
    <n v="83.767771229999994"/>
    <n v="6.7391610000000002"/>
    <n v="12.43"/>
    <n v="141.92158892999998"/>
    <n v="8.246157000000002"/>
    <n v="17.210633866175474"/>
    <n v="366.19015999999999"/>
    <n v="27.826000000000001"/>
    <n v="13.16"/>
    <n v="43.2"/>
    <n v="2.52"/>
    <n v="5.04"/>
    <n v="1.99"/>
    <n v="2.15"/>
    <n v="2.88"/>
    <n v="3.04"/>
    <n v="4.0199999999999996"/>
    <n v="5"/>
    <n v="5.04"/>
    <n v="6.05"/>
    <n v="33.35"/>
    <n v="45.46"/>
    <n v="44.85"/>
    <n v="49.14"/>
  </r>
  <r>
    <x v="15"/>
    <s v="SWN"/>
    <x v="0"/>
    <n v="109.881"/>
    <n v="0.61399999999999999"/>
    <n v="0"/>
    <n v="18.927500000000002"/>
    <n v="113.565"/>
    <n v="0"/>
    <n v="0"/>
    <n v="0"/>
    <n v="0"/>
    <n v="0"/>
    <n v="18.927500000000002"/>
    <n v="113.565"/>
    <n v="1"/>
    <n v="0.96756042794875186"/>
    <n v="3.2439572051248179E-2"/>
    <n v="0"/>
    <n v="1643"/>
    <n v="0"/>
    <n v="516.57799999999997"/>
    <n v="10374.578"/>
    <m/>
    <n v="1729.0963333333334"/>
    <m/>
    <m/>
    <m/>
    <n v="30.489000000000001"/>
    <n v="498.14100000000002"/>
    <n v="0.20399999999999999"/>
    <n v="0"/>
    <n v="528.83399999999995"/>
    <n v="8.1000000000000003E-2"/>
    <n v="1.585"/>
    <n v="0"/>
    <n v="0"/>
    <n v="1.6659999999999999"/>
    <n v="0"/>
    <n v="0"/>
    <n v="0"/>
    <n v="0"/>
    <n v="0"/>
    <n v="538.82999999999993"/>
    <n v="89.804999999999993"/>
    <n v="119.536"/>
    <n v="0"/>
    <n v="0"/>
    <n v="1375.2"/>
    <n v="1494.7360000000001"/>
    <m/>
    <m/>
    <m/>
    <m/>
    <m/>
    <s v="Includes oil and excludes sales. Capital includes capitalized costs incurred plus net unevaluated costs excluded from the full cost pool."/>
    <m/>
    <m/>
    <m/>
    <m/>
    <m/>
    <m/>
    <m/>
    <m/>
    <m/>
    <m/>
    <m/>
    <m/>
    <m/>
    <n v="0"/>
    <n v="0"/>
    <m/>
    <m/>
    <m/>
    <m/>
    <m/>
    <m/>
    <m/>
    <m/>
    <m/>
    <m/>
    <m/>
    <m/>
    <m/>
    <m/>
    <m/>
    <m/>
    <m/>
    <m/>
    <n v="4"/>
    <m/>
    <m/>
    <m/>
    <m/>
    <m/>
    <m/>
    <m/>
    <m/>
    <m/>
    <m/>
    <m/>
    <m/>
    <m/>
    <m/>
    <m/>
    <m/>
    <m/>
    <m/>
    <m/>
    <m/>
    <m/>
    <m/>
    <m/>
    <m/>
    <m/>
    <m/>
    <m/>
    <m/>
    <m/>
    <m/>
    <m/>
    <m/>
    <m/>
    <m/>
    <m/>
    <m/>
    <m/>
    <m/>
    <m/>
    <m/>
    <m/>
    <m/>
    <m/>
    <m/>
    <m/>
    <m/>
    <m/>
    <m/>
    <m/>
    <m/>
    <m/>
    <n v="72.34"/>
    <n v="6.97"/>
    <n v="12.91"/>
    <m/>
    <m/>
    <m/>
    <m/>
    <m/>
    <m/>
    <m/>
    <m/>
    <m/>
    <m/>
    <m/>
    <m/>
  </r>
  <r>
    <x v="15"/>
    <s v="SWN"/>
    <x v="1"/>
    <n v="192.26499999999999"/>
    <n v="0.38500000000000001"/>
    <n v="0"/>
    <n v="32.42916666666666"/>
    <n v="194.57499999999999"/>
    <n v="0"/>
    <n v="0"/>
    <n v="0"/>
    <n v="0"/>
    <n v="0"/>
    <n v="32.42916666666666"/>
    <n v="194.57499999999999"/>
    <n v="1"/>
    <n v="0.98812797121932416"/>
    <n v="1.1872028780675834E-2"/>
    <n v="0"/>
    <n v="155"/>
    <n v="0"/>
    <n v="839.15800000000002"/>
    <n v="1769.1579999999999"/>
    <n v="-8605.42"/>
    <n v="294.85966666666667"/>
    <n v="-1434.2366666666667"/>
    <n v="-0.82947181080522014"/>
    <m/>
    <n v="100.23"/>
    <n v="919.62300000000005"/>
    <n v="0"/>
    <n v="0"/>
    <n v="1019.8530000000001"/>
    <n v="-0.35499999999999998"/>
    <n v="9.2999999999999999E-2"/>
    <n v="0"/>
    <n v="0"/>
    <n v="-0.26200000000000001"/>
    <n v="0"/>
    <n v="0"/>
    <n v="0"/>
    <n v="0"/>
    <n v="0"/>
    <n v="1018.2810000000001"/>
    <n v="169.71350000000001"/>
    <n v="121.871"/>
    <n v="0"/>
    <n v="0"/>
    <n v="1569.1"/>
    <n v="1690.971"/>
    <m/>
    <m/>
    <m/>
    <m/>
    <m/>
    <s v="Includes oil and excludes sales. Capital includes capitalized costs incurred plus net unevaluated costs excluded from the full cost pool."/>
    <m/>
    <m/>
    <m/>
    <m/>
    <m/>
    <m/>
    <m/>
    <m/>
    <m/>
    <m/>
    <m/>
    <m/>
    <m/>
    <n v="0"/>
    <n v="0"/>
    <m/>
    <m/>
    <m/>
    <m/>
    <m/>
    <m/>
    <m/>
    <m/>
    <m/>
    <m/>
    <m/>
    <m/>
    <m/>
    <m/>
    <m/>
    <m/>
    <m/>
    <m/>
    <n v="4"/>
    <m/>
    <m/>
    <m/>
    <m/>
    <m/>
    <m/>
    <m/>
    <m/>
    <m/>
    <m/>
    <m/>
    <m/>
    <m/>
    <m/>
    <m/>
    <m/>
    <m/>
    <m/>
    <m/>
    <m/>
    <m/>
    <m/>
    <m/>
    <m/>
    <m/>
    <m/>
    <m/>
    <m/>
    <m/>
    <m/>
    <m/>
    <m/>
    <m/>
    <m/>
    <m/>
    <m/>
    <m/>
    <m/>
    <m/>
    <m/>
    <m/>
    <m/>
    <m/>
    <m/>
    <m/>
    <m/>
    <m/>
    <m/>
    <m/>
    <m/>
    <m/>
    <n v="99.67"/>
    <n v="8.86"/>
    <n v="15.2"/>
    <m/>
    <m/>
    <m/>
    <m/>
    <m/>
    <m/>
    <m/>
    <m/>
    <m/>
    <m/>
    <m/>
    <m/>
  </r>
  <r>
    <x v="15"/>
    <s v="SWN"/>
    <x v="2"/>
    <n v="299.69799999999998"/>
    <n v="0.124"/>
    <n v="0"/>
    <n v="50.073666666666668"/>
    <n v="300.44200000000001"/>
    <n v="0"/>
    <n v="0"/>
    <n v="0"/>
    <n v="0"/>
    <n v="0"/>
    <n v="50.073666666666668"/>
    <n v="300.44200000000001"/>
    <n v="1"/>
    <n v="0.99752364849122288"/>
    <n v="2.4763515087770686E-3"/>
    <n v="0"/>
    <n v="31"/>
    <n v="0"/>
    <n v="1677.5360000000001"/>
    <n v="1863.5360000000001"/>
    <n v="94.378000000000156"/>
    <n v="310.58933333333334"/>
    <n v="15.729666666666674"/>
    <n v="5.3346281112257948E-2"/>
    <m/>
    <n v="94.93"/>
    <n v="1683.2639999999999"/>
    <n v="1.7949999999999999"/>
    <n v="0"/>
    <n v="1779.989"/>
    <n v="-0.34599999999999997"/>
    <n v="2.1999999999999999E-2"/>
    <n v="0"/>
    <n v="0"/>
    <n v="-0.32399999999999995"/>
    <n v="0"/>
    <n v="0"/>
    <n v="0"/>
    <n v="0"/>
    <n v="0"/>
    <n v="1778.0450000000001"/>
    <n v="296.34083333333331"/>
    <n v="115.217"/>
    <n v="4.3719999999999999"/>
    <n v="52.177999999999997"/>
    <n v="1358.1089999999999"/>
    <n v="1529.876"/>
    <n v="4715.5830000000005"/>
    <n v="555.85933333333332"/>
    <n v="3335.1559999999999"/>
    <n v="8.483410671045073"/>
    <n v="1.4139017785075123"/>
    <s v="Includes oil and excludes sales. Capital includes capitalized costs incurred plus net unevaluated costs excluded from the full cost pool."/>
    <n v="231.34034"/>
    <n v="0"/>
    <n v="105.15469999999999"/>
    <n v="105.15469999999999"/>
    <n v="-64.968999999999994"/>
    <n v="0"/>
    <n v="-47.922518118515612"/>
    <n v="0"/>
    <n v="33.935000000000002"/>
    <n v="33.935000000000002"/>
    <n v="61.152000000000001"/>
    <n v="0"/>
    <n v="45.107017623535334"/>
    <n v="1582.596"/>
    <n v="2145.54"/>
    <n v="0.73762129813473531"/>
    <n v="367.61453950501971"/>
    <n v="7.3414743512229252"/>
    <n v="1.2235790585371542"/>
    <m/>
    <n v="1897.4905395050196"/>
    <n v="189.74905395050197"/>
    <n v="0.12402904153702782"/>
    <n v="3.7893980325753782"/>
    <n v="0.63156633876256307"/>
    <n v="30.552505974530856"/>
    <n v="5.0920843290884763"/>
    <n v="15.824885022267999"/>
    <n v="19.614283054843376"/>
    <n v="46.377390996798852"/>
    <n v="2.6374808370446665"/>
    <n v="3.2690471758072297"/>
    <n v="7.7295651661331428"/>
    <n v="4"/>
    <n v="1.5824885022267998"/>
    <n v="79.241001764337369"/>
    <n v="5.1795702242755211E-2"/>
    <m/>
    <n v="595"/>
    <m/>
    <m/>
    <m/>
    <m/>
    <m/>
    <m/>
    <m/>
    <m/>
    <m/>
    <m/>
    <m/>
    <m/>
    <m/>
    <m/>
    <m/>
    <m/>
    <m/>
    <m/>
    <m/>
    <m/>
    <m/>
    <m/>
    <m/>
    <m/>
    <m/>
    <m/>
    <m/>
    <m/>
    <m/>
    <m/>
    <m/>
    <m/>
    <m/>
    <m/>
    <m/>
    <m/>
    <m/>
    <m/>
    <m/>
    <m/>
    <m/>
    <m/>
    <m/>
    <m/>
    <m/>
    <m/>
    <n v="61.95"/>
    <n v="3.94"/>
    <n v="8.99"/>
    <m/>
    <m/>
    <m/>
    <m/>
    <m/>
    <m/>
    <m/>
    <m/>
    <m/>
    <m/>
    <m/>
    <m/>
  </r>
  <r>
    <x v="15"/>
    <s v="SWN"/>
    <x v="3"/>
    <n v="403.63600000000002"/>
    <n v="0.17100000000000001"/>
    <n v="0"/>
    <n v="67.443666666666672"/>
    <n v="404.66200000000003"/>
    <n v="0"/>
    <n v="0"/>
    <n v="0"/>
    <n v="0"/>
    <n v="0"/>
    <n v="67.443666666666672"/>
    <n v="404.66200000000003"/>
    <n v="1"/>
    <n v="0.99746455066203399"/>
    <n v="2.5354493379660063E-3"/>
    <n v="0"/>
    <n v="46"/>
    <n v="0"/>
    <n v="2242.7420000000002"/>
    <n v="2518.7420000000002"/>
    <n v="655.20600000000013"/>
    <n v="419.79033333333336"/>
    <n v="109.20100000000002"/>
    <n v="0.35159288578272707"/>
    <m/>
    <n v="309.29199999999997"/>
    <n v="1429.4390000000001"/>
    <n v="0"/>
    <n v="0"/>
    <n v="1738.731"/>
    <n v="1.0589999999999999"/>
    <n v="0.28100000000000003"/>
    <n v="0"/>
    <n v="0"/>
    <n v="1.3399999999999999"/>
    <n v="0"/>
    <n v="0"/>
    <n v="0"/>
    <n v="0"/>
    <n v="0"/>
    <n v="1746.771"/>
    <n v="291.12849999999997"/>
    <n v="227.40899999999999"/>
    <n v="0"/>
    <n v="20.862000000000002"/>
    <n v="1524.4349999999999"/>
    <n v="1772.7059999999999"/>
    <n v="4993.5529999999999"/>
    <n v="757.18283333333329"/>
    <n v="4543.0969999999998"/>
    <n v="6.5949104762676214"/>
    <n v="1.0991517460446036"/>
    <s v="Includes oil and excludes sales. Capital includes capitalized costs incurred plus net unevaluated costs excluded from the full cost pool."/>
    <n v="335.86946"/>
    <n v="0"/>
    <n v="121.3986"/>
    <n v="121.3986"/>
    <n v="11.939"/>
    <n v="0"/>
    <n v="8.5602155716766202"/>
    <n v="0"/>
    <n v="44.2"/>
    <n v="44.2"/>
    <n v="55.581000000000003"/>
    <n v="0"/>
    <n v="39.851356201470658"/>
    <n v="1871.835"/>
    <n v="2610.663"/>
    <n v="0.71699602744590163"/>
    <n v="549.87963177314737"/>
    <n v="8.153169288539285"/>
    <n v="1.3588615480898807"/>
    <m/>
    <n v="2322.5856317731473"/>
    <n v="232.25856317731473"/>
    <n v="0.13101922325377965"/>
    <n v="3.4437416388588211"/>
    <n v="0.57395693980980356"/>
    <n v="26.284247100048926"/>
    <n v="4.3807078500081547"/>
    <n v="14.748079764806906"/>
    <n v="18.191821403665728"/>
    <n v="41.032326864855833"/>
    <n v="2.4580132941344841"/>
    <n v="3.0319702339442878"/>
    <n v="6.8387211441426388"/>
    <n v="4"/>
    <n v="1.4748079764806907"/>
    <n v="99.466457563104882"/>
    <n v="5.6109957073031222E-2"/>
    <m/>
    <n v="712"/>
    <m/>
    <m/>
    <m/>
    <m/>
    <m/>
    <m/>
    <m/>
    <m/>
    <m/>
    <m/>
    <m/>
    <m/>
    <m/>
    <m/>
    <m/>
    <m/>
    <m/>
    <m/>
    <m/>
    <m/>
    <m/>
    <m/>
    <m/>
    <m/>
    <m/>
    <m/>
    <m/>
    <m/>
    <m/>
    <m/>
    <m/>
    <m/>
    <m/>
    <m/>
    <m/>
    <m/>
    <m/>
    <m/>
    <m/>
    <m/>
    <m/>
    <m/>
    <m/>
    <m/>
    <m/>
    <m/>
    <n v="79.48"/>
    <n v="4.37"/>
    <n v="11.83"/>
    <m/>
    <m/>
    <m/>
    <m/>
    <m/>
    <m/>
    <m/>
    <m/>
    <m/>
    <m/>
    <m/>
    <m/>
  </r>
  <r>
    <x v="15"/>
    <s v="SWN"/>
    <x v="4"/>
    <n v="499.43299999999999"/>
    <n v="9.7000000000000003E-2"/>
    <n v="0"/>
    <n v="83.335833333333326"/>
    <n v="500.01499999999999"/>
    <n v="0"/>
    <n v="0"/>
    <n v="0"/>
    <n v="0"/>
    <n v="0"/>
    <n v="83.335833333333326"/>
    <n v="500.01499999999999"/>
    <n v="1"/>
    <n v="0.99883603491895245"/>
    <n v="1.1639650810475687E-3"/>
    <n v="0"/>
    <n v="13"/>
    <n v="0"/>
    <n v="2633.1889999999999"/>
    <n v="2711.1889999999999"/>
    <n v="192.44699999999966"/>
    <n v="451.86483333333331"/>
    <n v="32.074499999999944"/>
    <n v="7.6405999502926314E-2"/>
    <m/>
    <n v="34.505000000000003"/>
    <n v="1459.4280000000001"/>
    <n v="1.2999999999999999E-2"/>
    <n v="0"/>
    <n v="1493.9460000000001"/>
    <n v="1.2190000000000001"/>
    <n v="-0.125"/>
    <n v="0"/>
    <n v="0"/>
    <n v="1.0940000000000001"/>
    <n v="0"/>
    <n v="0"/>
    <n v="0"/>
    <n v="0"/>
    <n v="0"/>
    <n v="1500.5100000000002"/>
    <n v="250.08500000000001"/>
    <n v="262.68600000000004"/>
    <n v="1.7000000000000001E-2"/>
    <n v="45.018999999999998"/>
    <n v="1633.7840000000001"/>
    <n v="1941.5060000000001"/>
    <n v="5244.0879999999997"/>
    <n v="837.55433333333326"/>
    <n v="5025.326"/>
    <n v="6.261191413253588"/>
    <n v="1.0435319022089313"/>
    <s v="Includes oil and excludes sales. Capital includes capitalized costs incurred plus net unevaluated costs excluded from the full cost pool."/>
    <n v="420.01259999999996"/>
    <n v="0"/>
    <n v="135.00405000000001"/>
    <n v="135.00405000000001"/>
    <n v="4.1980000000000004"/>
    <n v="0"/>
    <n v="2.969538021964476"/>
    <n v="0"/>
    <n v="53.95"/>
    <n v="53.95"/>
    <n v="65.421000000000006"/>
    <n v="0"/>
    <n v="46.276833476640782"/>
    <n v="2088.7629999999999"/>
    <n v="2952.8589999999999"/>
    <n v="0.70736970508920338"/>
    <n v="658.21302149860526"/>
    <n v="7.8983193084040115"/>
    <n v="1.3163865514006685"/>
    <m/>
    <n v="2599.7190214986053"/>
    <n v="259.97190214986057"/>
    <n v="0.13390218837843434"/>
    <n v="3.1195692387211653"/>
    <n v="0.51992820645352755"/>
    <n v="23.297373078807638"/>
    <n v="3.8828955131346063"/>
    <n v="14.1595107216576"/>
    <n v="17.279079960378766"/>
    <n v="37.456883800465235"/>
    <n v="2.3599184536096001"/>
    <n v="2.8798466600631274"/>
    <n v="6.2428139667442064"/>
    <n v="4"/>
    <n v="1.41595107216576"/>
    <n v="117.9994625581604"/>
    <n v="6.0777284519419668E-2"/>
    <m/>
    <n v="943"/>
    <m/>
    <m/>
    <m/>
    <m/>
    <m/>
    <m/>
    <m/>
    <m/>
    <m/>
    <m/>
    <m/>
    <m/>
    <m/>
    <m/>
    <m/>
    <m/>
    <m/>
    <m/>
    <m/>
    <m/>
    <m/>
    <m/>
    <m/>
    <m/>
    <m/>
    <m/>
    <m/>
    <m/>
    <m/>
    <m/>
    <m/>
    <m/>
    <m/>
    <m/>
    <m/>
    <m/>
    <m/>
    <m/>
    <m/>
    <m/>
    <m/>
    <m/>
    <m/>
    <m/>
    <m/>
    <m/>
    <n v="94.88"/>
    <n v="4"/>
    <n v="15.12"/>
    <m/>
    <m/>
    <m/>
    <m/>
    <m/>
    <m/>
    <m/>
    <m/>
    <m/>
    <m/>
    <m/>
    <m/>
  </r>
  <r>
    <x v="15"/>
    <s v="SWN"/>
    <x v="5"/>
    <n v="564.48400000000004"/>
    <n v="8.3000000000000004E-2"/>
    <n v="0"/>
    <n v="94.163666666666671"/>
    <n v="564.98200000000008"/>
    <n v="0"/>
    <n v="0"/>
    <n v="0"/>
    <n v="0"/>
    <n v="0"/>
    <n v="94.163666666666671"/>
    <n v="564.98200000000008"/>
    <n v="1"/>
    <n v="0.99911855598939425"/>
    <n v="8.8144401060564765E-4"/>
    <n v="0"/>
    <n v="1"/>
    <n v="0"/>
    <n v="821"/>
    <n v="827"/>
    <n v="-1884.1889999999999"/>
    <n v="137.83333333333334"/>
    <n v="-314.03149999999994"/>
    <n v="-0.69496777981911251"/>
    <m/>
    <n v="-2087.9850000000001"/>
    <n v="918.59400000000005"/>
    <n v="0"/>
    <n v="0"/>
    <n v="-1169.3910000000001"/>
    <n v="-4.3999999999999997E-2"/>
    <n v="0.154"/>
    <n v="0"/>
    <n v="0"/>
    <n v="0.11"/>
    <n v="0"/>
    <n v="0"/>
    <n v="0"/>
    <n v="0"/>
    <n v="0"/>
    <n v="-1168.731"/>
    <n v="-194.7885"/>
    <n v="217.22200000000001"/>
    <n v="0"/>
    <n v="194.78"/>
    <n v="1492.8409999999999"/>
    <n v="1904.8429999999998"/>
    <n v="5619.0550000000003"/>
    <n v="346.42499999999995"/>
    <n v="2078.5500000000002"/>
    <n v="16.220119795049438"/>
    <n v="2.7033532991749056"/>
    <s v="Includes oil and excludes sales. Capital includes capitalized costs incurred plus net unevaluated costs excluded from the full cost pool."/>
    <n v="451.98560000000009"/>
    <n v="0"/>
    <n v="146.89532000000003"/>
    <n v="146.89532000000003"/>
    <n v="0.81799999999999995"/>
    <n v="0"/>
    <n v="0.58878021978021977"/>
    <n v="0"/>
    <n v="56.262"/>
    <n v="56.262"/>
    <n v="96.296000000000006"/>
    <n v="0"/>
    <n v="69.311956043956044"/>
    <n v="1965"/>
    <n v="2730"/>
    <n v="0.71978021978021978"/>
    <n v="725.04365626373635"/>
    <n v="7.6998239547143408"/>
    <n v="1.2833039924523901"/>
    <m/>
    <n v="2629.8866562637363"/>
    <n v="262.98866562637363"/>
    <n v="0.1380631714143232"/>
    <n v="2.7928889659462457"/>
    <n v="0.46548149432437419"/>
    <n v="20.229065704748113"/>
    <n v="3.3715109507913517"/>
    <n v="23.919943749763778"/>
    <n v="26.712832715710025"/>
    <n v="44.149009454511891"/>
    <n v="3.9866572916272958"/>
    <n v="4.4521387859516697"/>
    <n v="7.3581682424186479"/>
    <n v="4"/>
    <n v="2.3919943749763779"/>
    <n v="225.23896099381733"/>
    <n v="0.11824542022298812"/>
    <m/>
    <n v="1023.888"/>
    <m/>
    <n v="463.88400000000001"/>
    <n v="133.30000000000001"/>
    <n v="3.48"/>
    <n v="428.06399999999996"/>
    <n v="137.19999999999999"/>
    <n v="3.12"/>
    <n v="491.72199999999998"/>
    <n v="144.19999999999999"/>
    <n v="3.41"/>
    <n v="559.93000000000006"/>
    <n v="150.30000000000001"/>
    <n v="3.7254158349966735"/>
    <n v="1943.6"/>
    <n v="565"/>
    <n v="3.44"/>
    <n v="2.50536"/>
    <n v="2.4E-2"/>
    <n v="104.39"/>
    <n v="1.6710400000000001"/>
    <n v="1.6E-2"/>
    <n v="104.44"/>
    <n v="1.8937299999999999"/>
    <n v="1.9E-2"/>
    <n v="99.67"/>
    <n v="2.3576900000000012"/>
    <n v="2.4E-2"/>
    <n v="98.237083333333374"/>
    <n v="8.4278200000000005"/>
    <n v="8.3000000000000004E-2"/>
    <n v="101.54"/>
    <m/>
    <m/>
    <m/>
    <m/>
    <m/>
    <m/>
    <m/>
    <m/>
    <m/>
    <m/>
    <m/>
    <m/>
    <m/>
    <m/>
    <m/>
    <n v="94.05"/>
    <n v="2.75"/>
    <n v="10.98"/>
    <n v="2.41"/>
    <n v="2.2799999999999998"/>
    <n v="2.88"/>
    <n v="3.4"/>
    <n v="13.14"/>
    <n v="10.75"/>
    <n v="9.9600000000000009"/>
    <n v="10.08"/>
    <n v="102.98"/>
    <n v="93.29"/>
    <n v="92.17"/>
    <n v="88.01"/>
  </r>
  <r>
    <x v="15"/>
    <s v="SWN"/>
    <x v="6"/>
    <n v="655.70399999999995"/>
    <n v="0.188"/>
    <n v="0"/>
    <n v="109.47199999999999"/>
    <n v="656.83199999999999"/>
    <n v="0"/>
    <n v="0"/>
    <n v="0"/>
    <n v="0"/>
    <n v="0"/>
    <n v="109.47199999999999"/>
    <n v="656.83199999999999"/>
    <n v="1"/>
    <n v="0.99828266588716741"/>
    <n v="1.7173341128325051E-3"/>
    <n v="0"/>
    <n v="1"/>
    <n v="0"/>
    <n v="2737"/>
    <n v="2743"/>
    <n v="1916"/>
    <n v="457.16666666666669"/>
    <n v="319.33333333333337"/>
    <n v="2.3168077388149939"/>
    <m/>
    <n v="325.37400000000002"/>
    <n v="3283.4949999999999"/>
    <n v="4.1139999999999999"/>
    <n v="0"/>
    <n v="3612.9829999999997"/>
    <n v="8.7999999999999995E-2"/>
    <n v="0.22900000000000001"/>
    <n v="0"/>
    <n v="0"/>
    <n v="0.317"/>
    <n v="0"/>
    <n v="0"/>
    <n v="0"/>
    <n v="0"/>
    <n v="0"/>
    <n v="3614.8849999999998"/>
    <n v="602.48083333333329"/>
    <n v="151.304"/>
    <n v="0.57199999999999995"/>
    <n v="180.66399999999999"/>
    <n v="1662.1379999999999"/>
    <n v="1994.6779999999999"/>
    <n v="5841.027"/>
    <n v="657.77733333333333"/>
    <n v="3946.6639999999998"/>
    <n v="8.8799456959092549"/>
    <n v="1.4799909493182091"/>
    <s v="Includes oil and excludes sales. Capital includes capitalized costs incurred plus net unevaluated costs excluded from the full cost pool."/>
    <n v="564.87551999999994"/>
    <n v="0"/>
    <n v="157.63968"/>
    <n v="157.63968"/>
    <n v="18.786999999999999"/>
    <n v="0"/>
    <n v="13.373985193959136"/>
    <n v="0"/>
    <n v="65.683199999999999"/>
    <n v="65.683199999999999"/>
    <n v="100"/>
    <n v="0"/>
    <n v="71.187444477346759"/>
    <n v="2404"/>
    <n v="3377"/>
    <n v="0.71187444477346762"/>
    <n v="872.75982967130585"/>
    <n v="7.9724480202362784"/>
    <n v="1.3287413367060463"/>
    <m/>
    <n v="2867.4378296713057"/>
    <n v="286.74378296713058"/>
    <n v="0.14375442200050864"/>
    <n v="2.619334468787732"/>
    <n v="0.43655574479795534"/>
    <n v="18.220896667641039"/>
    <n v="3.0368161112735068"/>
    <n v="16.852393716145535"/>
    <n v="19.471728184933266"/>
    <n v="35.073290383786571"/>
    <n v="2.8087322860242554"/>
    <n v="3.245288030822211"/>
    <n v="5.8455483972977618"/>
    <n v="4"/>
    <n v="1.6852393716145535"/>
    <n v="184.48652448938839"/>
    <n v="9.2489376475495488E-2"/>
    <m/>
    <n v="956.46900000000005"/>
    <m/>
    <n v="504.45"/>
    <n v="147.5"/>
    <n v="3.42"/>
    <n v="614"/>
    <n v="158.656330749354"/>
    <n v="3.87"/>
    <n v="620.91999999999996"/>
    <n v="172"/>
    <n v="3.61"/>
    <n v="655.03000000000009"/>
    <n v="177.84366925064603"/>
    <n v="3.6831786183899862"/>
    <n v="2394.4"/>
    <n v="656"/>
    <n v="3.65"/>
    <n v="4.3841300000000007"/>
    <n v="4.1000000000000002E-2"/>
    <n v="106.93"/>
    <n v="2.3834400000000002"/>
    <n v="2.4E-2"/>
    <n v="99.31"/>
    <n v="3.9486399999999997"/>
    <n v="3.6999999999999998E-2"/>
    <n v="106.72"/>
    <n v="3.5419499999999999"/>
    <n v="3.6000000000000011E-2"/>
    <n v="98.387499999999974"/>
    <n v="14.25816"/>
    <n v="0.13800000000000001"/>
    <n v="103.32"/>
    <n v="0.95940000000000003"/>
    <n v="0.02"/>
    <n v="47.97"/>
    <n v="0.30104000000000003"/>
    <n v="8.0000000000000002E-3"/>
    <n v="37.630000000000003"/>
    <n v="0.50459999999999994"/>
    <n v="1.2E-2"/>
    <n v="42.05"/>
    <n v="0.41646000000000027"/>
    <n v="1.0000000000000005E-2"/>
    <n v="41.646000000000008"/>
    <n v="2.1815000000000002"/>
    <n v="0.05"/>
    <n v="43.63"/>
    <n v="97.98"/>
    <n v="3.73"/>
    <n v="9.94"/>
    <n v="3.49"/>
    <n v="4.01"/>
    <n v="3.56"/>
    <n v="3.85"/>
    <n v="9.77"/>
    <n v="9.39"/>
    <n v="10.01"/>
    <n v="10.53"/>
    <n v="94.33"/>
    <n v="94.05"/>
    <n v="105.83"/>
    <n v="97.44"/>
  </r>
  <r>
    <x v="15"/>
    <s v="SWN"/>
    <x v="7"/>
    <n v="765"/>
    <n v="0.23499999999999999"/>
    <n v="0.26100000000000001"/>
    <n v="127.996"/>
    <n v="767.976"/>
    <n v="0"/>
    <n v="0"/>
    <n v="0"/>
    <n v="0"/>
    <n v="0"/>
    <n v="127.996"/>
    <n v="767.976"/>
    <n v="1"/>
    <n v="0.9961248789024657"/>
    <n v="1.8359948748398387E-3"/>
    <n v="2.0391262226944593E-3"/>
    <n v="30.17"/>
    <n v="80.066999999999993"/>
    <n v="4134"/>
    <n v="4795.4219999999996"/>
    <n v="3968.4219999999996"/>
    <n v="799.23699999999997"/>
    <n v="661.4036666666666"/>
    <n v="4.7985755743651746"/>
    <m/>
    <n v="542"/>
    <n v="1691"/>
    <n v="1367"/>
    <n v="0"/>
    <n v="3600"/>
    <n v="-1.4E-2"/>
    <n v="0.25"/>
    <n v="37.246000000000002"/>
    <n v="0"/>
    <n v="37.481999999999999"/>
    <n v="66"/>
    <n v="48"/>
    <n v="118.816"/>
    <n v="0"/>
    <n v="232.816"/>
    <n v="5221.7879999999996"/>
    <n v="870.298"/>
    <n v="3933"/>
    <n v="1455"/>
    <n v="229"/>
    <n v="1600"/>
    <n v="7217"/>
    <n v="13058.027"/>
    <n v="1528.0753333333332"/>
    <n v="9168.4519999999993"/>
    <n v="8.5454078834682239"/>
    <n v="1.4242346472447041"/>
    <s v="The significant increase in the Company’s reserves in 2014 was primarily due to the acquisition of approximately 413,000 net acres in Southwest Appalachia, successful development drilling programs in the Fayetteville Shale and Northeast Appalachia and upward performance revisions in Northeast Appalachia."/>
    <n v="698.85816"/>
    <n v="0"/>
    <n v="184.31423999999998"/>
    <n v="184.31423999999998"/>
    <n v="28"/>
    <n v="0"/>
    <n v="19.786666666666665"/>
    <n v="0"/>
    <n v="84.477360000000004"/>
    <n v="84.477360000000004"/>
    <n v="101"/>
    <n v="0"/>
    <n v="71.373333333333335"/>
    <n v="2862"/>
    <n v="4050"/>
    <n v="0.70666666666666667"/>
    <n v="1058.8097600000001"/>
    <n v="8.2722097565548935"/>
    <n v="1.3787016260924823"/>
    <m/>
    <n v="8275.8097600000001"/>
    <n v="827.58097600000008"/>
    <n v="0.1146710511292781"/>
    <n v="6.4656784274508583"/>
    <n v="1.0776130712418097"/>
    <n v="56.384574517953688"/>
    <n v="9.397429086325614"/>
    <n v="16.817617640023116"/>
    <n v="23.283296067473973"/>
    <n v="73.20219215797681"/>
    <n v="2.8029362733371865"/>
    <n v="3.8805493445789963"/>
    <n v="12.200365359662801"/>
    <n v="4"/>
    <n v="1.6817617640023115"/>
    <n v="215.25877874523985"/>
    <n v="2.9826628619265601E-2"/>
    <m/>
    <n v="4646"/>
    <m/>
    <n v="761.74200000000008"/>
    <n v="181.8"/>
    <n v="4.1900000000000004"/>
    <n v="717"/>
    <n v="190.18567639257293"/>
    <n v="3.77"/>
    <n v="672.28000000000009"/>
    <n v="196"/>
    <n v="3.43"/>
    <n v="698.49799999999971"/>
    <n v="198.01432360742712"/>
    <n v="3.5275124913933271"/>
    <n v="2849.52"/>
    <n v="766"/>
    <n v="3.72"/>
    <n v="1.6068800000000001"/>
    <n v="1.6E-2"/>
    <n v="100.43"/>
    <n v="4.8536899999999994"/>
    <n v="4.7E-2"/>
    <n v="103.27"/>
    <n v="4.9832099999999997"/>
    <n v="5.0999999999999997E-2"/>
    <n v="97.71"/>
    <n v="7.3350699999999982"/>
    <n v="0.12100000000000001"/>
    <n v="60.620413223140474"/>
    <n v="18.778849999999998"/>
    <n v="0.23499999999999999"/>
    <n v="79.91"/>
    <n v="0.45143999999999995"/>
    <n v="8.9999999999999993E-3"/>
    <n v="50.16"/>
    <n v="0.26446000000000003"/>
    <n v="7.0000000000000001E-3"/>
    <n v="37.78"/>
    <n v="0.39127000000000001"/>
    <n v="1.0999999999999999E-2"/>
    <n v="35.57"/>
    <n v="2.5241500000000001"/>
    <n v="0.20399999999999999"/>
    <n v="12.373284313725492"/>
    <n v="3.6313200000000001"/>
    <n v="0.23100000000000001"/>
    <n v="15.72"/>
    <n v="93.17"/>
    <n v="4.37"/>
    <n v="9.56"/>
    <n v="5.21"/>
    <n v="4.6100000000000003"/>
    <n v="3.96"/>
    <n v="3.8"/>
    <n v="11.19"/>
    <n v="10.15"/>
    <n v="9.83"/>
    <n v="7.41"/>
    <n v="98.68"/>
    <n v="103.35"/>
    <n v="97.87"/>
    <n v="73.209999999999994"/>
  </r>
  <r>
    <x v="15"/>
    <s v="SWN"/>
    <x v="8"/>
    <n v="899"/>
    <n v="2.2650000000000001"/>
    <n v="10.702"/>
    <n v="162.80033333333333"/>
    <n v="976.80200000000002"/>
    <n v="0"/>
    <n v="0"/>
    <n v="0"/>
    <n v="0"/>
    <n v="0"/>
    <n v="162.80033333333333"/>
    <n v="976.80200000000002"/>
    <n v="1"/>
    <n v="0.92035028593307544"/>
    <n v="1.3912747926396548E-2"/>
    <n v="6.5736966140527972E-2"/>
    <n v="0"/>
    <n v="0"/>
    <n v="443"/>
    <n v="443"/>
    <n v="-4352.4219999999996"/>
    <n v="73.833333333333329"/>
    <n v="-725.4036666666666"/>
    <n v="-0.90762022612399906"/>
    <m/>
    <n v="-3458"/>
    <n v="546"/>
    <n v="97"/>
    <n v="0"/>
    <n v="-2815"/>
    <n v="-28.393999999999998"/>
    <n v="1.367"/>
    <n v="0.52500000000000002"/>
    <n v="0"/>
    <n v="-26.501999999999999"/>
    <n v="-75.664000000000001"/>
    <n v="6.274"/>
    <n v="2.34"/>
    <n v="0"/>
    <n v="-67.05"/>
    <n v="-3376.3119999999999"/>
    <n v="-562.71866666666665"/>
    <n v="692"/>
    <n v="81"/>
    <n v="560"/>
    <n v="1417"/>
    <n v="2750"/>
    <n v="13866.521000000001"/>
    <n v="715.27166666666653"/>
    <n v="4291.6299999999992"/>
    <n v="19.386369747625032"/>
    <n v="3.2310616246041723"/>
    <m/>
    <n v="898.65784000000008"/>
    <n v="0"/>
    <n v="205.12842000000001"/>
    <n v="205.12842000000001"/>
    <n v="-6"/>
    <n v="0"/>
    <n v="-3.9987146529562985"/>
    <n v="0"/>
    <n v="97.680200000000013"/>
    <n v="97.680200000000013"/>
    <n v="200"/>
    <n v="0"/>
    <n v="133.29048843187661"/>
    <n v="2074"/>
    <n v="3112"/>
    <n v="0.66645244215938304"/>
    <n v="1330.7582337789204"/>
    <n v="8.1741738885398707"/>
    <n v="1.362362314756645"/>
    <m/>
    <n v="4080.7582337789204"/>
    <n v="408.07582337789205"/>
    <n v="0.14839120850105164"/>
    <n v="2.5066031194319343"/>
    <n v="0.41776718657198902"/>
    <n v="16.891857305779475"/>
    <n v="2.8153095509632453"/>
    <n v="27.560543636164901"/>
    <n v="30.067146755596834"/>
    <n v="44.452400941944376"/>
    <n v="4.5934239393608172"/>
    <n v="5.0111911259328066"/>
    <n v="7.408733490324062"/>
    <n v="4"/>
    <n v="2.75605436361649"/>
    <n v="448.68656908155242"/>
    <n v="0.16315875239329178"/>
    <m/>
    <n v="3727"/>
    <m/>
    <n v="654.81000000000006"/>
    <n v="219"/>
    <n v="2.99"/>
    <n v="717"/>
    <n v="226"/>
    <n v="1.76"/>
    <n v="403.56"/>
    <n v="228"/>
    <n v="1.77"/>
    <n v="355.26000000000016"/>
    <n v="226"/>
    <n v="1.571946902654868"/>
    <n v="2130.63"/>
    <n v="899"/>
    <n v="2.37"/>
    <n v="16.840499999999999"/>
    <n v="0.54500000000000004"/>
    <n v="30.9"/>
    <n v="24.078320000000001"/>
    <n v="0.58899999999999997"/>
    <n v="40.880000000000003"/>
    <n v="18.827000000000002"/>
    <n v="0.56200000000000006"/>
    <n v="33.5"/>
    <n v="15.565429999999999"/>
    <n v="0.56900000000000006"/>
    <n v="27.355764499121261"/>
    <n v="75.311250000000001"/>
    <n v="2.2650000000000001"/>
    <n v="33.25"/>
    <n v="18.278099999999998"/>
    <n v="1.766"/>
    <n v="10.35"/>
    <n v="14.851979999999998"/>
    <n v="2.5739999999999998"/>
    <n v="5.77"/>
    <n v="14.320479999999998"/>
    <n v="3.0339999999999998"/>
    <n v="4.72"/>
    <n v="25.32304000000001"/>
    <n v="3.3280000000000003"/>
    <n v="7.6090865384615407"/>
    <n v="72.773600000000002"/>
    <n v="10.702"/>
    <n v="6.8"/>
    <n v="48.66"/>
    <n v="2.62"/>
    <n v="4.97"/>
    <n v="2.9"/>
    <n v="2.75"/>
    <n v="2.76"/>
    <n v="2.12"/>
    <n v="5.43"/>
    <n v="5.2"/>
    <n v="4.68"/>
    <n v="4.5999999999999996"/>
    <n v="48.49"/>
    <n v="57.85"/>
    <n v="46.64"/>
    <n v="41.94"/>
  </r>
  <r>
    <x v="15"/>
    <s v="SWN"/>
    <x v="9"/>
    <n v="788"/>
    <n v="2.1920000000000002"/>
    <n v="12.372"/>
    <n v="145.89733333333334"/>
    <n v="875.38400000000001"/>
    <n v="0"/>
    <n v="0"/>
    <n v="0"/>
    <n v="0"/>
    <n v="0"/>
    <n v="145.89733333333334"/>
    <n v="875.38400000000001"/>
    <n v="1"/>
    <n v="0.90017637973734954"/>
    <n v="1.5024263637443682E-2"/>
    <n v="8.4799356625206768E-2"/>
    <n v="0"/>
    <n v="0"/>
    <n v="77"/>
    <n v="77"/>
    <n v="-366"/>
    <n v="12.833333333333334"/>
    <n v="-60.999999999999993"/>
    <n v="-0.82618510158013536"/>
    <m/>
    <n v="-446"/>
    <n v="198"/>
    <n v="0"/>
    <n v="0"/>
    <n v="-248"/>
    <n v="1.5640000000000001"/>
    <n v="2.4169999999999998"/>
    <n v="0"/>
    <n v="0"/>
    <n v="3.9809999999999999"/>
    <n v="13.794"/>
    <n v="11.576000000000001"/>
    <n v="0"/>
    <n v="0"/>
    <n v="25.37"/>
    <n v="-71.894000000000005"/>
    <n v="-11.982333333333333"/>
    <n v="171"/>
    <n v="0"/>
    <n v="17"/>
    <n v="433"/>
    <n v="621"/>
    <n v="10588"/>
    <n v="295.59700000000004"/>
    <n v="1773.5819999999997"/>
    <n v="35.819037405657021"/>
    <n v="5.9698395676095055"/>
    <m/>
    <n v="761.58407999999997"/>
    <n v="0"/>
    <n v="192.58448000000001"/>
    <n v="192.58448000000001"/>
    <n v="-15"/>
    <n v="0"/>
    <n v="-8.7763975155279503"/>
    <n v="0"/>
    <n v="87.53840000000001"/>
    <n v="87.53840000000001"/>
    <n v="226"/>
    <n v="0"/>
    <n v="132.23105590062113"/>
    <n v="1413"/>
    <n v="2415"/>
    <n v="0.58509316770186337"/>
    <n v="1165.1616183850933"/>
    <n v="7.9861748790365823"/>
    <n v="1.331029146506097"/>
    <m/>
    <n v="1786.1616183850933"/>
    <n v="178.61616183850936"/>
    <n v="0.28762666962722921"/>
    <n v="1.2242592633987555"/>
    <n v="0.20404321056645924"/>
    <n v="4.2564177549509701"/>
    <n v="0.70940295915849505"/>
    <n v="43.805212284693603"/>
    <n v="45.02947154809236"/>
    <n v="48.061630039644569"/>
    <n v="7.3008687141156026"/>
    <n v="7.5049119246820615"/>
    <n v="8.0102716732740973"/>
    <n v="4"/>
    <n v="4.3805212284693607"/>
    <n v="639.10636584373719"/>
    <n v="1.0291567887982886"/>
    <m/>
    <n v="2105"/>
    <m/>
    <m/>
    <m/>
    <m/>
    <m/>
    <m/>
    <m/>
    <m/>
    <m/>
    <m/>
    <n v="1292.32"/>
    <n v="788"/>
    <n v="1.64"/>
    <n v="1292.32"/>
    <n v="788"/>
    <n v="1.64"/>
    <m/>
    <m/>
    <m/>
    <m/>
    <m/>
    <m/>
    <m/>
    <m/>
    <m/>
    <n v="68.3904"/>
    <n v="2.1920000000000002"/>
    <n v="31.199999999999996"/>
    <n v="68.3904"/>
    <n v="2.1920000000000002"/>
    <n v="31.2"/>
    <n v="16.812480000000001"/>
    <n v="3.3759999999999999"/>
    <n v="4.9800000000000004"/>
    <n v="20.101760000000002"/>
    <n v="3.1360000000000001"/>
    <n v="6.41"/>
    <n v="21.59872"/>
    <n v="3.0680000000000001"/>
    <n v="7.04"/>
    <n v="33.782159999999998"/>
    <n v="2.7920000000000003"/>
    <n v="12.099627507163321"/>
    <n v="92.295119999999997"/>
    <n v="12.372"/>
    <n v="7.46"/>
    <n v="43.2"/>
    <n v="2.52"/>
    <n v="5.04"/>
    <n v="1.99"/>
    <n v="2.15"/>
    <n v="2.88"/>
    <n v="3.04"/>
    <n v="4.0199999999999996"/>
    <n v="5"/>
    <n v="5.04"/>
    <n v="6.05"/>
    <n v="33.35"/>
    <n v="45.46"/>
    <n v="44.85"/>
    <n v="49.14"/>
  </r>
</pivotCacheRecords>
</file>

<file path=xl/pivotCache/pivotCacheRecords3.xml><?xml version="1.0" encoding="utf-8"?>
<pivotCacheRecords xmlns="http://schemas.openxmlformats.org/spreadsheetml/2006/main" xmlns:r="http://schemas.openxmlformats.org/officeDocument/2006/relationships" count="160">
  <r>
    <s v="Anadarko Petroleum"/>
    <x v="0"/>
    <x v="0"/>
    <n v="698"/>
    <n v="64"/>
    <n v="0"/>
    <n v="180.33333333333331"/>
    <n v="1082"/>
    <n v="0"/>
    <n v="32"/>
    <n v="0"/>
    <n v="32"/>
    <n v="192"/>
    <n v="212.33333333333331"/>
    <n v="1274"/>
    <n v="0.84929356357927788"/>
    <n v="0.64510166358595189"/>
    <n v="0.35489833641404811"/>
    <n v="0"/>
    <n v="254"/>
    <n v="16"/>
    <n v="2196"/>
    <n v="3816"/>
    <m/>
    <n v="636"/>
    <m/>
    <m/>
    <m/>
    <n v="464"/>
    <n v="460"/>
    <n v="4"/>
    <n v="0"/>
    <n v="928"/>
    <n v="33"/>
    <n v="8"/>
    <n v="0"/>
    <n v="0"/>
    <n v="41"/>
    <n v="0"/>
    <n v="0"/>
    <n v="0"/>
    <n v="0"/>
    <n v="0"/>
    <n v="1174"/>
    <n v="195.66666666666666"/>
    <n v="108"/>
    <n v="9"/>
    <n v="575"/>
    <n v="2623"/>
    <n v="3315"/>
    <m/>
    <m/>
    <m/>
    <m/>
    <m/>
    <s v="Costs &amp; Adds include oil; Sales excluded. Allocation of fair value adjustment ommitted in prperty acquisition costs."/>
    <m/>
    <m/>
    <m/>
    <m/>
    <m/>
    <m/>
    <m/>
    <m/>
    <m/>
    <m/>
    <m/>
    <m/>
    <m/>
    <n v="0"/>
    <n v="0"/>
    <m/>
    <m/>
    <m/>
    <m/>
    <m/>
    <m/>
    <m/>
    <m/>
    <m/>
    <m/>
    <m/>
    <m/>
    <m/>
    <m/>
    <m/>
    <m/>
    <m/>
    <m/>
    <n v="4"/>
    <m/>
    <m/>
  </r>
  <r>
    <s v="Anadarko Petroleum"/>
    <x v="0"/>
    <x v="1"/>
    <n v="750"/>
    <n v="40"/>
    <n v="14"/>
    <n v="179"/>
    <n v="1074"/>
    <n v="0"/>
    <n v="26"/>
    <n v="0"/>
    <n v="26"/>
    <n v="156"/>
    <n v="205"/>
    <n v="1230"/>
    <n v="0.87317073170731707"/>
    <n v="0.6983240223463687"/>
    <n v="0.22346368715083798"/>
    <n v="7.8212290502793297E-2"/>
    <n v="202"/>
    <n v="55"/>
    <n v="1988"/>
    <n v="3530"/>
    <n v="-286"/>
    <n v="588.33333333333326"/>
    <n v="-47.666666666666742"/>
    <n v="-7.4947589098532608E-2"/>
    <m/>
    <n v="199"/>
    <n v="336"/>
    <n v="0"/>
    <n v="0"/>
    <n v="535"/>
    <n v="-17"/>
    <n v="36"/>
    <n v="0"/>
    <n v="0"/>
    <n v="19"/>
    <n v="76"/>
    <n v="4"/>
    <n v="0"/>
    <n v="0"/>
    <n v="80"/>
    <n v="1129"/>
    <n v="188.16666666666669"/>
    <n v="391"/>
    <n v="26"/>
    <n v="622"/>
    <n v="3240"/>
    <n v="4279"/>
    <m/>
    <m/>
    <m/>
    <m/>
    <m/>
    <s v="Costs &amp; Adds include oil; Sales excluded"/>
    <m/>
    <m/>
    <m/>
    <m/>
    <m/>
    <m/>
    <m/>
    <m/>
    <m/>
    <m/>
    <m/>
    <m/>
    <m/>
    <n v="0"/>
    <n v="0"/>
    <m/>
    <m/>
    <m/>
    <m/>
    <m/>
    <m/>
    <m/>
    <m/>
    <m/>
    <m/>
    <m/>
    <m/>
    <m/>
    <m/>
    <m/>
    <m/>
    <m/>
    <m/>
    <n v="4"/>
    <m/>
    <m/>
  </r>
  <r>
    <s v="Anadarko Petroleum"/>
    <x v="0"/>
    <x v="2"/>
    <n v="817"/>
    <n v="44"/>
    <n v="19"/>
    <n v="199.16666666666666"/>
    <n v="1195"/>
    <n v="0"/>
    <n v="25"/>
    <n v="0"/>
    <n v="25"/>
    <n v="150"/>
    <n v="224.16666666666666"/>
    <n v="1345"/>
    <n v="0.88847583643122674"/>
    <n v="0.68368200836820081"/>
    <n v="0.22092050209205022"/>
    <n v="9.5397489539748956E-2"/>
    <n v="200"/>
    <n v="61"/>
    <n v="1880"/>
    <n v="3446"/>
    <n v="-84"/>
    <n v="574.33333333333326"/>
    <n v="-14"/>
    <n v="-2.3796033994334279E-2"/>
    <m/>
    <n v="228"/>
    <n v="210"/>
    <n v="149"/>
    <n v="0"/>
    <n v="587"/>
    <n v="45"/>
    <n v="13"/>
    <n v="1"/>
    <n v="0"/>
    <n v="59"/>
    <n v="69"/>
    <n v="2"/>
    <n v="6"/>
    <n v="0"/>
    <n v="77"/>
    <n v="1403"/>
    <n v="233.83333333333331"/>
    <n v="270"/>
    <n v="266"/>
    <n v="743"/>
    <n v="2005"/>
    <n v="3284"/>
    <n v="10878"/>
    <n v="617.66666666666674"/>
    <n v="3706"/>
    <n v="17.611440906637881"/>
    <n v="2.935240151106314"/>
    <s v="Costs &amp; Adds include oil; Sales excluded"/>
    <n v="1412"/>
    <m/>
    <n v="294"/>
    <n v="294"/>
    <n v="194"/>
    <n v="0"/>
    <n v="157.08036350628709"/>
    <n v="0"/>
    <n v="304"/>
    <n v="304"/>
    <n v="732"/>
    <n v="0"/>
    <n v="592.69497982784617"/>
    <n v="7482"/>
    <n v="8210"/>
    <n v="0.80969259539323246"/>
    <n v="2759.7753433341331"/>
    <n v="13.856612602514476"/>
    <n v="2.3094354337524128"/>
    <s v="US Operating loss $5; Non-Income tax is production tax"/>
    <n v="6043.7753433341331"/>
    <n v="604.37753433341334"/>
    <n v="0.18403700801870077"/>
    <n v="3.0345315531384771"/>
    <n v="0.50575525885641281"/>
    <n v="16.488702928870293"/>
    <n v="2.7481171548117156"/>
    <n v="31.468053509152355"/>
    <n v="34.502585062290834"/>
    <n v="47.956756438022651"/>
    <n v="5.2446755848587268"/>
    <n v="5.7504308437151392"/>
    <n v="7.9927927396704419"/>
    <n v="4"/>
    <n v="3.1468053509152356"/>
    <n v="626.73873239061777"/>
  </r>
  <r>
    <s v="Anadarko Petroleum"/>
    <x v="0"/>
    <x v="3"/>
    <n v="829"/>
    <n v="48"/>
    <n v="23"/>
    <n v="209.16666666666666"/>
    <n v="1255"/>
    <n v="0"/>
    <n v="26"/>
    <n v="0"/>
    <n v="26"/>
    <n v="156"/>
    <n v="235.16666666666666"/>
    <n v="1411"/>
    <n v="0.88944011339475548"/>
    <n v="0.66055776892430274"/>
    <n v="0.22948207171314741"/>
    <n v="0.10996015936254981"/>
    <n v="195"/>
    <n v="85"/>
    <n v="2135"/>
    <n v="3815"/>
    <n v="369"/>
    <n v="635.83333333333326"/>
    <n v="61.5"/>
    <n v="0.10708067324434128"/>
    <m/>
    <n v="851"/>
    <n v="363"/>
    <n v="7"/>
    <n v="0"/>
    <n v="1221"/>
    <n v="32"/>
    <n v="13"/>
    <n v="0"/>
    <n v="0"/>
    <n v="45"/>
    <n v="60"/>
    <n v="10"/>
    <n v="0"/>
    <n v="0"/>
    <n v="70"/>
    <n v="1911"/>
    <n v="318.5"/>
    <n v="428"/>
    <n v="22"/>
    <n v="693"/>
    <n v="2368"/>
    <n v="3511"/>
    <n v="11074"/>
    <n v="740.5"/>
    <n v="4443"/>
    <n v="14.954760297096556"/>
    <n v="2.4924600495160929"/>
    <s v="Costs &amp; Adds include oil; Sales excluded"/>
    <n v="1536"/>
    <m/>
    <n v="274"/>
    <n v="274"/>
    <n v="307"/>
    <n v="0"/>
    <n v="252.07882965829268"/>
    <n v="0"/>
    <n v="456"/>
    <n v="456"/>
    <n v="856"/>
    <n v="0"/>
    <n v="702.86474979641218"/>
    <n v="10009"/>
    <n v="10842"/>
    <n v="0.82110367966870579"/>
    <n v="3220.9435794547048"/>
    <n v="15.398933447592215"/>
    <n v="2.5664889079320359"/>
    <s v="Tax loss due to $4 billion Deepwater Horizon settlement with BP "/>
    <n v="6731.9435794547044"/>
    <n v="673.19435794547053"/>
    <n v="0.19173863797934221"/>
    <n v="3.2184590818110146"/>
    <n v="0.53640984696850247"/>
    <n v="16.785657370517928"/>
    <n v="2.7976095617529881"/>
    <n v="30.353693744688769"/>
    <n v="33.572152826499781"/>
    <n v="47.139351115206694"/>
    <n v="5.0589489574481288"/>
    <n v="5.5953588044166311"/>
    <n v="7.8565585192011174"/>
    <n v="4"/>
    <n v="3.035369374468877"/>
    <n v="634.89809415974003"/>
  </r>
  <r>
    <s v="Anadarko Petroleum"/>
    <x v="0"/>
    <x v="4"/>
    <n v="852"/>
    <n v="48"/>
    <n v="26"/>
    <n v="216"/>
    <n v="1296"/>
    <n v="0"/>
    <n v="30"/>
    <n v="0"/>
    <n v="30"/>
    <n v="180"/>
    <n v="246"/>
    <n v="1476"/>
    <n v="0.87804878048780488"/>
    <n v="0.65740740740740744"/>
    <n v="0.22222222222222221"/>
    <n v="0.12037037037037036"/>
    <n v="184"/>
    <n v="94"/>
    <n v="2252"/>
    <n v="3920"/>
    <n v="105"/>
    <n v="653.33333333333326"/>
    <n v="17.5"/>
    <n v="2.7522935779816519E-2"/>
    <m/>
    <n v="550"/>
    <n v="614"/>
    <n v="0"/>
    <n v="0"/>
    <n v="1164"/>
    <n v="44"/>
    <n v="52"/>
    <n v="0"/>
    <n v="0"/>
    <n v="96"/>
    <n v="68"/>
    <n v="20"/>
    <n v="0"/>
    <n v="0"/>
    <n v="88"/>
    <n v="2268"/>
    <n v="378"/>
    <n v="610"/>
    <n v="0"/>
    <n v="666"/>
    <n v="2970"/>
    <n v="4246"/>
    <n v="11041"/>
    <n v="930.33333333333326"/>
    <n v="5582"/>
    <n v="11.867789322823361"/>
    <n v="1.9779648871372268"/>
    <s v="Costs &amp; Adds include oil; Sales excluded"/>
    <n v="1729"/>
    <m/>
    <n v="322"/>
    <n v="322"/>
    <n v="262"/>
    <n v="0"/>
    <n v="212.68160558856704"/>
    <n v="0"/>
    <n v="646"/>
    <n v="646"/>
    <n v="986"/>
    <n v="0"/>
    <n v="800.39718744399659"/>
    <n v="12834"/>
    <n v="13882"/>
    <n v="0.81176185339147722"/>
    <n v="3710.0787930325637"/>
    <n v="17.176290708484093"/>
    <n v="2.8627151180806818"/>
    <m/>
    <n v="7956.0787930325641"/>
    <n v="795.60787930325648"/>
    <n v="0.18737820991598128"/>
    <n v="3.6833698115891504"/>
    <n v="0.6138949685981917"/>
    <n v="19.657407407407408"/>
    <n v="3.2762345679012346"/>
    <n v="29.044080031307452"/>
    <n v="32.727449842896604"/>
    <n v="48.701487438714864"/>
    <n v="4.8406800052179086"/>
    <n v="5.4545749738161007"/>
    <n v="8.1169145731191428"/>
    <n v="4"/>
    <n v="2.9044080031307451"/>
    <n v="627.35212867624091"/>
  </r>
  <r>
    <s v="Anadarko Petroleum"/>
    <x v="0"/>
    <x v="5"/>
    <n v="916"/>
    <n v="54"/>
    <n v="30"/>
    <n v="236.66666666666666"/>
    <n v="1420"/>
    <n v="0"/>
    <n v="31"/>
    <n v="0"/>
    <n v="31"/>
    <n v="186"/>
    <n v="267.66666666666663"/>
    <n v="1606"/>
    <n v="0.88418430884184307"/>
    <n v="0.6450704225352113"/>
    <n v="0.22816901408450704"/>
    <n v="0.12676056338028169"/>
    <n v="193"/>
    <n v="110"/>
    <n v="1884"/>
    <n v="3702"/>
    <n v="-218"/>
    <n v="617"/>
    <n v="-36.333333333333258"/>
    <n v="-5.5612244897959073E-2"/>
    <m/>
    <n v="635"/>
    <n v="418"/>
    <n v="26"/>
    <n v="0"/>
    <n v="1079"/>
    <n v="62"/>
    <n v="9"/>
    <n v="0"/>
    <n v="0"/>
    <n v="71"/>
    <n v="65"/>
    <n v="3"/>
    <n v="0"/>
    <n v="0"/>
    <n v="68"/>
    <n v="1913"/>
    <n v="318.83333333333337"/>
    <n v="224"/>
    <n v="0"/>
    <n v="1064"/>
    <n v="3592"/>
    <n v="4880"/>
    <n v="12637"/>
    <n v="1015.3333333333334"/>
    <n v="6092"/>
    <n v="12.446158896913985"/>
    <n v="2.0743598161523309"/>
    <s v="Costs &amp; Adds include oil; Sales excluded"/>
    <n v="1717"/>
    <m/>
    <n v="318"/>
    <n v="318"/>
    <n v="-300"/>
    <n v="0"/>
    <n v="-247.09585990238566"/>
    <n v="0"/>
    <n v="581"/>
    <n v="581"/>
    <n v="963"/>
    <n v="0"/>
    <n v="793.177710286658"/>
    <n v="12396"/>
    <n v="13307"/>
    <n v="0.82365286634128554"/>
    <n v="3162.0818503842725"/>
    <n v="13.360909226975799"/>
    <n v="2.2268182044959666"/>
    <m/>
    <n v="8042.0818503842729"/>
    <n v="804.20818503842736"/>
    <n v="0.16479675922918594"/>
    <n v="3.398062753683496"/>
    <n v="0.56634379228058263"/>
    <n v="20.619718309859156"/>
    <n v="3.436619718309859"/>
    <n v="25.807068123889785"/>
    <n v="29.205130877573282"/>
    <n v="46.426786433748944"/>
    <n v="4.3011780206482975"/>
    <n v="4.8675218129288798"/>
    <n v="7.7377977389581565"/>
    <n v="4"/>
    <n v="2.5807068123889785"/>
    <n v="610.76727893205816"/>
  </r>
  <r>
    <s v="Anadarko Petroleum"/>
    <x v="0"/>
    <x v="6"/>
    <n v="965"/>
    <n v="58"/>
    <n v="33"/>
    <n v="251.83333333333334"/>
    <n v="1511"/>
    <n v="0"/>
    <n v="32"/>
    <n v="0"/>
    <n v="32"/>
    <n v="192"/>
    <n v="283.83333333333337"/>
    <n v="1703"/>
    <n v="0.88725778038755143"/>
    <n v="0.63864990072799466"/>
    <n v="0.2303110522832561"/>
    <n v="0.13103904698874916"/>
    <n v="245"/>
    <n v="127"/>
    <n v="2085"/>
    <n v="4317"/>
    <n v="615"/>
    <n v="719.5"/>
    <n v="102.5"/>
    <n v="0.16612641815235007"/>
    <m/>
    <n v="1276"/>
    <n v="416"/>
    <n v="153"/>
    <n v="0"/>
    <n v="1845"/>
    <n v="96"/>
    <n v="52"/>
    <n v="1"/>
    <n v="0"/>
    <n v="149"/>
    <n v="17"/>
    <n v="10"/>
    <n v="9"/>
    <n v="0"/>
    <n v="36"/>
    <n v="2955"/>
    <n v="492.5"/>
    <n v="282"/>
    <n v="324"/>
    <n v="1031"/>
    <n v="4421"/>
    <n v="6058"/>
    <n v="15184"/>
    <n v="1189.3333333333335"/>
    <n v="7136"/>
    <n v="12.766816143497756"/>
    <n v="2.1278026905829597"/>
    <s v="Costs &amp; Adds include oil; Sales excluded"/>
    <n v="1926"/>
    <m/>
    <n v="332"/>
    <n v="332"/>
    <n v="169"/>
    <n v="0"/>
    <n v="139.46735045649029"/>
    <n v="0"/>
    <n v="569"/>
    <n v="569"/>
    <n v="949"/>
    <n v="0"/>
    <n v="783.16281410183012"/>
    <n v="13828"/>
    <n v="14867"/>
    <n v="0.82525059441710236"/>
    <n v="3749.6301645583203"/>
    <n v="14.88933222193906"/>
    <n v="2.4815553703231767"/>
    <m/>
    <n v="9807.6301645583208"/>
    <n v="980.76301645583214"/>
    <n v="0.16189551278571016"/>
    <n v="3.8944924544903987"/>
    <n v="0.64908207574839982"/>
    <n v="24.055592322964923"/>
    <n v="4.0092653871608208"/>
    <n v="27.656148365436817"/>
    <n v="31.550640819927217"/>
    <n v="51.71174068840174"/>
    <n v="4.6093580609061364"/>
    <n v="5.2584401366545359"/>
    <n v="8.6186234480669572"/>
    <n v="4"/>
    <n v="2.7656148365436817"/>
    <n v="696.47400300291724"/>
  </r>
  <r>
    <s v="Anadarko Petroleum"/>
    <x v="0"/>
    <x v="7"/>
    <n v="951"/>
    <n v="74"/>
    <n v="44"/>
    <n v="276.5"/>
    <n v="1659"/>
    <n v="0"/>
    <n v="35"/>
    <n v="1"/>
    <n v="36"/>
    <n v="216"/>
    <n v="312.5"/>
    <n v="1875"/>
    <n v="0.88480000000000003"/>
    <n v="0.5732368896925859"/>
    <n v="0.26763110307414106"/>
    <n v="0.15913200723327306"/>
    <n v="352"/>
    <n v="162"/>
    <n v="2033"/>
    <n v="5117"/>
    <n v="800"/>
    <n v="852.83333333333326"/>
    <n v="133.33333333333326"/>
    <n v="0.18531387537641869"/>
    <m/>
    <n v="710"/>
    <n v="196"/>
    <n v="0"/>
    <n v="0"/>
    <n v="906"/>
    <n v="167"/>
    <n v="25"/>
    <n v="0"/>
    <n v="0"/>
    <n v="192"/>
    <n v="129"/>
    <n v="5"/>
    <n v="0"/>
    <n v="0"/>
    <n v="134"/>
    <n v="2862"/>
    <n v="477"/>
    <n v="264"/>
    <n v="3"/>
    <n v="1095"/>
    <n v="6158"/>
    <n v="7520"/>
    <n v="18458"/>
    <n v="1288.3333333333335"/>
    <n v="7730"/>
    <n v="14.327037516170762"/>
    <n v="2.3878395860284605"/>
    <s v="Infill Drilling Program Increasing Revisions"/>
    <n v="2281"/>
    <m/>
    <n v="394"/>
    <n v="394"/>
    <n v="956"/>
    <n v="0"/>
    <n v="783.57153143206108"/>
    <n v="0"/>
    <n v="652"/>
    <n v="652"/>
    <n v="973"/>
    <n v="0"/>
    <n v="797.50533481526725"/>
    <n v="15169"/>
    <n v="16375"/>
    <n v="0.81963549312977102"/>
    <n v="4908.0768662473283"/>
    <n v="17.750730076843865"/>
    <n v="2.9584550128073106"/>
    <m/>
    <n v="12428.076866247327"/>
    <n v="1242.8076866247329"/>
    <n v="0.16526697960435277"/>
    <n v="4.4947836767621441"/>
    <n v="0.74913061279369075"/>
    <n v="27.197106690777577"/>
    <n v="4.5328511151295965"/>
    <n v="32.077767593014627"/>
    <n v="36.572551269776774"/>
    <n v="59.274874283792201"/>
    <n v="5.3462945988357706"/>
    <n v="6.0954252116294612"/>
    <n v="9.879145713965368"/>
    <n v="4"/>
    <n v="3.2077767593014626"/>
    <n v="886.9502739468544"/>
  </r>
  <r>
    <s v="Anadarko Petroleum"/>
    <x v="0"/>
    <x v="8"/>
    <n v="854"/>
    <n v="85"/>
    <n v="45"/>
    <n v="272.33333333333337"/>
    <n v="1634"/>
    <n v="5"/>
    <n v="31"/>
    <n v="2"/>
    <n v="33.833333333333329"/>
    <n v="203"/>
    <n v="306.16666666666669"/>
    <n v="1837"/>
    <n v="0.88949373979314095"/>
    <n v="0.52264381884944922"/>
    <n v="0.31211750305997549"/>
    <n v="0.16523867809057524"/>
    <n v="193"/>
    <n v="68"/>
    <n v="807"/>
    <n v="2373"/>
    <n v="-2744"/>
    <n v="395.5"/>
    <n v="-457.33333333333326"/>
    <n v="-0.5362517099863201"/>
    <m/>
    <n v="-888"/>
    <n v="60"/>
    <n v="8"/>
    <n v="0"/>
    <n v="-820"/>
    <n v="2"/>
    <n v="15"/>
    <n v="0"/>
    <n v="0"/>
    <n v="17"/>
    <n v="-99"/>
    <n v="4"/>
    <n v="0"/>
    <n v="0"/>
    <n v="-95"/>
    <n v="-1288"/>
    <n v="-214.66666666666666"/>
    <n v="293"/>
    <n v="81"/>
    <n v="503"/>
    <n v="3660"/>
    <n v="4537"/>
    <n v="18115"/>
    <n v="754.83333333333337"/>
    <n v="4529"/>
    <n v="23.998675204239344"/>
    <n v="3.9997792007065578"/>
    <m/>
    <n v="2048"/>
    <m/>
    <n v="398"/>
    <n v="398"/>
    <n v="26"/>
    <n v="0"/>
    <n v="20.137853210834383"/>
    <n v="0"/>
    <n v="218"/>
    <n v="218"/>
    <n v="989"/>
    <n v="0"/>
    <n v="766.01295482750788"/>
    <n v="8260"/>
    <n v="9486"/>
    <n v="0.77453281580132238"/>
    <n v="3450.1508080383423"/>
    <n v="12.668852416297462"/>
    <n v="2.1114754027162439"/>
    <m/>
    <n v="7987.1508080383428"/>
    <n v="798.71508080383433"/>
    <n v="0.17604476103236374"/>
    <n v="2.9328583138451685"/>
    <n v="0.48880971897419484"/>
    <n v="16.659730722154219"/>
    <n v="2.7766217870257037"/>
    <n v="36.667527620536802"/>
    <n v="39.600385934381968"/>
    <n v="53.327258342691024"/>
    <n v="6.1112546034228021"/>
    <n v="6.6000643223969968"/>
    <n v="8.8878763904485059"/>
    <n v="4"/>
    <n v="3.6667527620536804"/>
    <n v="998.57900219928581"/>
  </r>
  <r>
    <s v="Anadarko Petroleum"/>
    <x v="0"/>
    <x v="9"/>
    <n v="766"/>
    <n v="86"/>
    <n v="44"/>
    <n v="257.66666666666669"/>
    <n v="1546"/>
    <n v="5"/>
    <n v="30"/>
    <n v="2"/>
    <n v="32.833333333333329"/>
    <n v="197"/>
    <n v="290.5"/>
    <n v="1743"/>
    <n v="0.88697647733792317"/>
    <n v="0.49547218628719275"/>
    <n v="0.33376455368693397"/>
    <n v="0.17076326002587322"/>
    <n v="181"/>
    <n v="75"/>
    <n v="762"/>
    <n v="2298"/>
    <n v="-75"/>
    <n v="383"/>
    <n v="-12.5"/>
    <n v="-3.1605562579013903E-2"/>
    <m/>
    <n v="310"/>
    <n v="59"/>
    <n v="68"/>
    <n v="0"/>
    <n v="437"/>
    <n v="11"/>
    <n v="24"/>
    <n v="81"/>
    <n v="0"/>
    <n v="116"/>
    <n v="45"/>
    <n v="6"/>
    <n v="5"/>
    <n v="0"/>
    <n v="56"/>
    <n v="1469"/>
    <n v="244.83333333333331"/>
    <n v="178"/>
    <n v="2498"/>
    <n v="398"/>
    <n v="1780"/>
    <n v="4854"/>
    <n v="16911"/>
    <n v="507.16666666666669"/>
    <n v="3043"/>
    <n v="33.344068353598423"/>
    <n v="5.5573447255997372"/>
    <m/>
    <n v="1633"/>
    <m/>
    <n v="317"/>
    <n v="317"/>
    <n v="-882"/>
    <n v="0"/>
    <n v="-662.47030884280582"/>
    <n v="0"/>
    <n v="189"/>
    <n v="189"/>
    <n v="1022"/>
    <n v="0"/>
    <n v="767.62432611944166"/>
    <n v="7153"/>
    <n v="8447"/>
    <n v="0.7511001234045418"/>
    <n v="2244.1540172766358"/>
    <n v="8.7095239997799574"/>
    <n v="1.4515873332966596"/>
    <m/>
    <n v="7098.1540172766363"/>
    <n v="709.8154017276637"/>
    <n v="0.14623308647047048"/>
    <n v="2.7547816367179703"/>
    <n v="0.4591302727863284"/>
    <n v="18.838292367399738"/>
    <n v="3.1397153945666236"/>
    <n v="42.053592353378377"/>
    <n v="44.808373990096349"/>
    <n v="60.891884720778116"/>
    <n v="7.0089320588963968"/>
    <n v="7.4680623316827255"/>
    <n v="10.14864745346302"/>
    <n v="4"/>
    <n v="4.2053592353378377"/>
    <n v="1083.580896305383"/>
  </r>
  <r>
    <s v="Apache Corp"/>
    <x v="1"/>
    <x v="0"/>
    <n v="280.90199999999999"/>
    <n v="35.938000000000002"/>
    <n v="0"/>
    <n v="82.754999999999995"/>
    <n v="496.53"/>
    <n v="374.76400000000007"/>
    <n v="59.635999999999996"/>
    <n v="0"/>
    <n v="122.09666666666666"/>
    <n v="732.58"/>
    <n v="204.85166666666666"/>
    <n v="1229.1100000000001"/>
    <n v="0.40397523411248781"/>
    <n v="0.56573016736148873"/>
    <n v="0.43426983263851132"/>
    <n v="0"/>
    <n v="156.655"/>
    <n v="0"/>
    <n v="727.85299999999995"/>
    <n v="1667.7829999999999"/>
    <m/>
    <n v="277.96383333333335"/>
    <m/>
    <m/>
    <m/>
    <n v="8.8810000000000002"/>
    <n v="217.56"/>
    <n v="79.531999999999996"/>
    <n v="0"/>
    <n v="305.97300000000001"/>
    <n v="5.5460000000000003"/>
    <n v="31.504000000000001"/>
    <n v="56.954000000000001"/>
    <n v="0"/>
    <n v="94.004000000000005"/>
    <n v="0"/>
    <n v="0"/>
    <n v="0"/>
    <n v="0"/>
    <n v="0"/>
    <n v="869.99700000000007"/>
    <n v="144.99950000000001"/>
    <n v="0"/>
    <n v="965.476"/>
    <n v="139.09200000000001"/>
    <n v="1470.98"/>
    <n v="2575.5479999999998"/>
    <m/>
    <m/>
    <m/>
    <m/>
    <m/>
    <s v="Extensions, discoveries, purchases &amp;  and revisions. Excludes sales. Capital is US costs incurred less cap. Interest and asset retirement costs"/>
    <m/>
    <m/>
    <m/>
    <m/>
    <m/>
    <m/>
    <m/>
    <m/>
    <m/>
    <m/>
    <m/>
    <m/>
    <m/>
    <n v="0"/>
    <n v="0"/>
    <m/>
    <m/>
    <m/>
    <m/>
    <m/>
    <m/>
    <m/>
    <m/>
    <m/>
    <m/>
    <m/>
    <m/>
    <m/>
    <m/>
    <m/>
    <m/>
    <m/>
    <m/>
    <n v="4"/>
    <m/>
    <m/>
  </r>
  <r>
    <s v="Apache Corp"/>
    <x v="1"/>
    <x v="1"/>
    <n v="248.83500000000001"/>
    <n v="35.057000000000002"/>
    <n v="0"/>
    <n v="76.529500000000013"/>
    <n v="459.17700000000002"/>
    <n v="343.20999999999992"/>
    <n v="61.861999999999995"/>
    <n v="0"/>
    <n v="119.06366666666665"/>
    <n v="714.38199999999983"/>
    <n v="195.59316666666666"/>
    <n v="1173.5589999999997"/>
    <n v="0.3912687815440043"/>
    <n v="0.54191520916770652"/>
    <n v="0.45808479083229336"/>
    <n v="0"/>
    <n v="151.24799999999999"/>
    <n v="0"/>
    <n v="670.19399999999996"/>
    <n v="1577.6819999999998"/>
    <n v="-90.101000000000113"/>
    <n v="262.947"/>
    <n v="-15.016833333333352"/>
    <n v="-5.402441444720333E-2"/>
    <m/>
    <n v="-175.834"/>
    <n v="247.1"/>
    <n v="27.550999999999998"/>
    <n v="0"/>
    <n v="98.816999999999993"/>
    <n v="-31.54"/>
    <n v="38.01"/>
    <n v="1.919"/>
    <n v="0"/>
    <n v="8.3889999999999993"/>
    <n v="0"/>
    <n v="0"/>
    <n v="0"/>
    <n v="0"/>
    <n v="0"/>
    <n v="149.15099999999998"/>
    <n v="24.858499999999999"/>
    <n v="75.436999999999998"/>
    <n v="69.641999999999996"/>
    <n v="382.01900000000001"/>
    <n v="1801.454"/>
    <n v="2328.5519999999997"/>
    <m/>
    <m/>
    <m/>
    <m/>
    <m/>
    <s v="Extensions, discoveries, purchases &amp;  and revisions. Excludes sales. Capital is US costs incurred less cap. Interest and asset retirement costs"/>
    <m/>
    <m/>
    <m/>
    <m/>
    <m/>
    <m/>
    <m/>
    <m/>
    <m/>
    <m/>
    <m/>
    <m/>
    <m/>
    <n v="0"/>
    <n v="0"/>
    <m/>
    <m/>
    <m/>
    <m/>
    <m/>
    <m/>
    <m/>
    <m/>
    <m/>
    <m/>
    <m/>
    <m/>
    <m/>
    <m/>
    <m/>
    <m/>
    <m/>
    <m/>
    <n v="4"/>
    <m/>
    <m/>
  </r>
  <r>
    <s v="Apache Corp"/>
    <x v="1"/>
    <x v="2"/>
    <n v="243.12"/>
    <n v="34.773000000000003"/>
    <n v="0"/>
    <n v="75.293000000000006"/>
    <n v="451.75800000000004"/>
    <n v="398.84699999999998"/>
    <n v="71.146999999999991"/>
    <n v="0"/>
    <n v="137.62149999999997"/>
    <n v="825.72899999999993"/>
    <n v="212.91449999999998"/>
    <n v="1277.4870000000001"/>
    <n v="0.35363021306674747"/>
    <n v="0.53816423837541338"/>
    <n v="0.46183576162458662"/>
    <n v="0"/>
    <n v="150.62700000000001"/>
    <n v="0"/>
    <n v="652.76599999999996"/>
    <n v="1556.528"/>
    <n v="-21.153999999999769"/>
    <n v="259.42133333333334"/>
    <n v="-3.5256666666666661"/>
    <n v="-1.3408278727905875E-2"/>
    <m/>
    <n v="-54.591000000000001"/>
    <n v="150.66800000000001"/>
    <n v="47.781999999999996"/>
    <n v="0"/>
    <n v="143.85899999999998"/>
    <n v="12.981"/>
    <n v="17.641999999999999"/>
    <n v="13.023"/>
    <n v="0"/>
    <n v="43.646000000000001"/>
    <n v="0"/>
    <n v="0"/>
    <n v="0"/>
    <n v="0"/>
    <n v="0"/>
    <n v="405.73499999999996"/>
    <n v="67.622500000000002"/>
    <n v="0"/>
    <n v="196"/>
    <n v="233"/>
    <n v="695"/>
    <n v="1124"/>
    <n v="6028.0999999999995"/>
    <n v="237.48050000000001"/>
    <n v="1424.883"/>
    <n v="25.383557807904225"/>
    <n v="4.2305929679840375"/>
    <s v="Extensions, discoveries, purchases &amp;  and revisions. Excludes sales. Capital is US costs incurred less cap. Interest and asset retirement costs"/>
    <n v="797.23800000000006"/>
    <n v="343.88299999999998"/>
    <n v="0"/>
    <n v="121.60741856003231"/>
    <n v="686"/>
    <n v="0"/>
    <n v="242.59032616378877"/>
    <n v="0"/>
    <n v="106.792"/>
    <n v="106.792"/>
    <n v="309"/>
    <n v="0"/>
    <n v="109.27173583762497"/>
    <n v="8574"/>
    <n v="8574"/>
    <n v="0.35363021306674747"/>
    <n v="1377.499480561446"/>
    <n v="18.295186545381988"/>
    <n v="3.0491977575636646"/>
    <s v="Company had federal and state operating losses in 09 and carryforwards"/>
    <n v="2501.499480561446"/>
    <n v="250.14994805614461"/>
    <n v="0.22255333456952367"/>
    <n v="3.322353313802672"/>
    <n v="0.55372555230044529"/>
    <n v="14.928346592644733"/>
    <n v="2.4880577654407889"/>
    <n v="43.678744353286213"/>
    <n v="47.001097667088885"/>
    <n v="58.607090945930949"/>
    <n v="7.2797907255477021"/>
    <n v="7.8335162778481475"/>
    <n v="9.7678484909884915"/>
    <n v="4"/>
    <n v="4.3678744353286216"/>
    <n v="328.87036985919792"/>
  </r>
  <r>
    <s v="Apache Corp"/>
    <x v="1"/>
    <x v="3"/>
    <n v="266.75900000000001"/>
    <n v="40.277999999999999"/>
    <n v="0"/>
    <n v="84.737833333333327"/>
    <n v="508.42700000000002"/>
    <n v="422.60199999999998"/>
    <n v="84.865000000000009"/>
    <n v="0"/>
    <n v="155.29866666666669"/>
    <n v="931.79200000000003"/>
    <n v="240.03650000000002"/>
    <n v="1440.2190000000001"/>
    <n v="0.35302061700338627"/>
    <n v="0.52467512543590333"/>
    <n v="0.47532487456409672"/>
    <n v="0"/>
    <n v="214.11699999999999"/>
    <n v="30.361000000000001"/>
    <n v="988.86900000000003"/>
    <n v="2455.7370000000001"/>
    <n v="899.20900000000006"/>
    <n v="409.28949999999998"/>
    <n v="149.86816666666664"/>
    <n v="0.5777017824285845"/>
    <m/>
    <n v="47.988999999999997"/>
    <n v="951.654"/>
    <n v="102.18"/>
    <n v="0"/>
    <n v="1101.8230000000001"/>
    <n v="7.5970000000000004"/>
    <n v="195.131"/>
    <n v="72.927999999999997"/>
    <n v="0"/>
    <n v="275.65600000000001"/>
    <n v="0"/>
    <n v="0"/>
    <n v="0"/>
    <n v="0"/>
    <n v="0"/>
    <n v="2755.759"/>
    <n v="459.29316666666671"/>
    <n v="2497"/>
    <n v="5604"/>
    <n v="261"/>
    <n v="573"/>
    <n v="8935"/>
    <n v="12387.552"/>
    <n v="551.7741666666667"/>
    <n v="3310.645"/>
    <n v="22.450402263003127"/>
    <n v="3.7417337105005215"/>
    <s v="Extensions, discoveries, purchases &amp;  and revisions. Excludes sales. Capital is US costs incurred less cap. Interest and asset retirement costs"/>
    <n v="966"/>
    <n v="380"/>
    <n v="0"/>
    <n v="134.14783446128675"/>
    <n v="1170"/>
    <n v="0"/>
    <n v="413.03412189396187"/>
    <n v="0"/>
    <n v="177"/>
    <n v="177"/>
    <n v="345"/>
    <n v="0"/>
    <n v="121.79211286616824"/>
    <n v="12183"/>
    <n v="12183"/>
    <n v="0.35302061700338622"/>
    <n v="1811.9740692214168"/>
    <n v="21.383294780427676"/>
    <n v="3.563882463404612"/>
    <m/>
    <n v="10746.974069221416"/>
    <n v="1074.6974069221417"/>
    <n v="0.12027950832928279"/>
    <n v="12.682616071791724"/>
    <n v="2.1137693452986204"/>
    <n v="105.44286593748956"/>
    <n v="17.573810989581592"/>
    <n v="43.833697043430803"/>
    <n v="56.51631311522253"/>
    <n v="149.27656298092035"/>
    <n v="7.3056161739051335"/>
    <n v="9.4193855192037539"/>
    <n v="24.879427163486724"/>
    <n v="4"/>
    <n v="4.3833697043430799"/>
    <n v="371.4372514450065"/>
  </r>
  <r>
    <s v="Apache Corp"/>
    <x v="1"/>
    <x v="4"/>
    <n v="315.63099999999997"/>
    <n v="43.587000000000003"/>
    <n v="8.0709999999999997"/>
    <n v="104.26316666666666"/>
    <n v="625.57900000000006"/>
    <n v="510.13900000000001"/>
    <n v="80.492999999999995"/>
    <n v="3.2949999999999999"/>
    <n v="168.81116666666665"/>
    <n v="1012.867"/>
    <n v="273.0743333333333"/>
    <n v="1638.4459999999999"/>
    <n v="0.38181240028661312"/>
    <n v="0.50454219211322626"/>
    <n v="0.41804792040653543"/>
    <n v="7.7409887480238304E-2"/>
    <n v="205.76300000000001"/>
    <n v="52.542999999999999"/>
    <n v="760.23800000000006"/>
    <n v="2310.0740000000001"/>
    <n v="-145.66300000000001"/>
    <n v="385.01233333333334"/>
    <n v="-24.277166666666631"/>
    <n v="-5.9315390858222926E-2"/>
    <m/>
    <n v="-7.7160000000000002"/>
    <n v="169.506"/>
    <n v="67.594999999999999"/>
    <n v="0"/>
    <n v="229.38499999999999"/>
    <n v="-8.9039999999999999"/>
    <n v="45.676000000000002"/>
    <n v="5.0970000000000004"/>
    <n v="0"/>
    <n v="41.869000000000007"/>
    <n v="1.7130000000000001"/>
    <n v="43.914999999999999"/>
    <n v="0.58599999999999997"/>
    <n v="0"/>
    <n v="46.213999999999999"/>
    <n v="757.88300000000004"/>
    <n v="126.31383333333333"/>
    <n v="116"/>
    <n v="368"/>
    <n v="418"/>
    <n v="2300"/>
    <n v="3202"/>
    <n v="13261"/>
    <n v="653.22950000000014"/>
    <n v="3919.3770000000004"/>
    <n v="20.300675336922165"/>
    <n v="3.3834458894870276"/>
    <s v="Extensions, discoveries, purchases &amp;  and revisions. Excludes sales. Capital is US costs incurred less cap. Interest and asset retirement costs"/>
    <n v="1231"/>
    <n v="459"/>
    <n v="0"/>
    <n v="175.25189173155542"/>
    <n v="1686"/>
    <n v="0"/>
    <n v="643.73570688322968"/>
    <n v="0"/>
    <n v="259"/>
    <n v="259"/>
    <n v="433"/>
    <n v="0"/>
    <n v="165.32476932410347"/>
    <n v="16810"/>
    <n v="16810"/>
    <n v="0.38181240028661312"/>
    <n v="2474.3123679388882"/>
    <n v="23.731413950329742"/>
    <n v="3.9552356583882897"/>
    <m/>
    <n v="5676.3123679388882"/>
    <n v="567.63123679388889"/>
    <n v="0.17727396526979666"/>
    <n v="5.4442163511935879"/>
    <n v="0.90736939186559784"/>
    <n v="30.710749561606129"/>
    <n v="5.1184582602676878"/>
    <n v="44.032089287251907"/>
    <n v="49.476305638445496"/>
    <n v="74.742838848858042"/>
    <n v="7.3386815478753178"/>
    <n v="8.2460509397409147"/>
    <n v="12.457139808143005"/>
    <n v="4"/>
    <n v="4.4032089287251903"/>
    <n v="459.0925064038293"/>
  </r>
  <r>
    <s v="Apache Corp"/>
    <x v="1"/>
    <x v="5"/>
    <n v="312.60000000000002"/>
    <n v="49.088999999999999"/>
    <n v="12.272"/>
    <n v="113.461"/>
    <n v="680.76600000000008"/>
    <n v="526.803"/>
    <n v="79.751000000000005"/>
    <n v="3.984"/>
    <n v="171.53550000000001"/>
    <n v="1029.213"/>
    <n v="284.99650000000003"/>
    <n v="1709.979"/>
    <n v="0.39811366104496021"/>
    <n v="0.45918861987819604"/>
    <n v="0.43265086681767301"/>
    <n v="0.10816051330413094"/>
    <n v="203.06800000000001"/>
    <n v="60.889000000000003"/>
    <n v="832.32"/>
    <n v="2416.0620000000004"/>
    <n v="105.98800000000028"/>
    <n v="402.67700000000002"/>
    <n v="17.664666666666676"/>
    <n v="4.5880781308304433E-2"/>
    <m/>
    <n v="-156.84"/>
    <n v="365.863"/>
    <n v="313.88499999999999"/>
    <n v="0"/>
    <n v="522.90800000000002"/>
    <n v="-7.4740000000000002"/>
    <n v="84.656000000000006"/>
    <n v="15.942"/>
    <n v="0"/>
    <n v="93.123999999999995"/>
    <n v="-4.5590000000000002"/>
    <n v="71.965000000000003"/>
    <n v="0.23"/>
    <n v="0"/>
    <n v="67.63600000000001"/>
    <n v="1487.4680000000001"/>
    <n v="247.91133333333335"/>
    <n v="3334"/>
    <n v="1076"/>
    <n v="364"/>
    <n v="3777"/>
    <n v="8551"/>
    <n v="20688"/>
    <n v="833.51833333333343"/>
    <n v="5001.1099999999997"/>
    <n v="24.820089940033309"/>
    <n v="4.1366816566722191"/>
    <s v="Extensions, discoveries, purchases &amp;  and revisions. Excludes sales. Capital is US costs incurred less cap. Interest and asset retirement costs"/>
    <n v="1455"/>
    <n v="515"/>
    <n v="0"/>
    <n v="205.02853543815451"/>
    <n v="2590"/>
    <n v="0"/>
    <n v="1031.114382106447"/>
    <n v="0"/>
    <n v="292"/>
    <n v="292"/>
    <n v="501"/>
    <n v="0"/>
    <n v="199.45494418352507"/>
    <n v="16564"/>
    <n v="16564"/>
    <n v="0.39811366104496021"/>
    <n v="3182.5978617281266"/>
    <n v="28.05014817186634"/>
    <n v="4.6750246953110555"/>
    <m/>
    <n v="11733.597861728127"/>
    <n v="1173.3597861728128"/>
    <n v="0.13721901370281989"/>
    <n v="10.341525159947585"/>
    <n v="1.7235875266579306"/>
    <n v="75.365103427609483"/>
    <n v="12.560850571268247"/>
    <n v="52.870238111899653"/>
    <n v="63.211763271847239"/>
    <n v="128.23534153950914"/>
    <n v="8.8117063519832755"/>
    <n v="10.535293878641205"/>
    <n v="21.372556923251523"/>
    <n v="4"/>
    <n v="5.2870238111899654"/>
    <n v="599.87100864142462"/>
  </r>
  <r>
    <s v="Apache Corp"/>
    <x v="1"/>
    <x v="6"/>
    <n v="285.18700000000001"/>
    <n v="53.621000000000002"/>
    <n v="19.922000000000001"/>
    <n v="121.07416666666667"/>
    <n v="726.44500000000005"/>
    <n v="480.25"/>
    <n v="72.894000000000005"/>
    <n v="3.6729999999999983"/>
    <n v="156.60866666666669"/>
    <n v="939.65200000000004"/>
    <n v="277.68283333333335"/>
    <n v="1666.0970000000002"/>
    <n v="0.43601603027914937"/>
    <n v="0.39257892889344687"/>
    <n v="0.44287729972675149"/>
    <n v="0.16454377137980164"/>
    <n v="195.83500000000001"/>
    <n v="63.537999999999997"/>
    <n v="667.16"/>
    <n v="2223.3979999999997"/>
    <n v="-192.66400000000067"/>
    <n v="370.56633333333332"/>
    <n v="-32.110666666666702"/>
    <n v="-7.9742986727989684E-2"/>
    <m/>
    <n v="61.247"/>
    <n v="306.721"/>
    <n v="0.85499999999999998"/>
    <n v="0"/>
    <n v="368.82300000000004"/>
    <n v="1.6830000000000001"/>
    <n v="133.227"/>
    <n v="8.5000000000000006E-2"/>
    <n v="0"/>
    <n v="134.995"/>
    <n v="1.591"/>
    <n v="69.230999999999995"/>
    <n v="4.4999999999999998E-2"/>
    <n v="0"/>
    <n v="70.86699999999999"/>
    <n v="1603.9950000000001"/>
    <n v="267.33249999999998"/>
    <n v="195"/>
    <n v="17"/>
    <n v="562"/>
    <n v="4716"/>
    <n v="5490"/>
    <n v="17243"/>
    <n v="641.55766666666659"/>
    <n v="3849.3460000000005"/>
    <n v="26.87677335318779"/>
    <n v="4.4794622255312975"/>
    <s v="Extensions, discoveries, purchases &amp;  and revisions. Excludes sales. Capital is US costs incurred less cap. Interest and asset retirement costs"/>
    <n v="1404"/>
    <n v="482"/>
    <n v="0"/>
    <n v="210.15972659454999"/>
    <n v="1766"/>
    <n v="0"/>
    <n v="770.00430947297775"/>
    <n v="0"/>
    <n v="324"/>
    <n v="324"/>
    <n v="560"/>
    <n v="0"/>
    <n v="244.16897695632366"/>
    <n v="14771"/>
    <n v="14771"/>
    <n v="0.43601603027914937"/>
    <n v="2952.333013023851"/>
    <n v="24.384499966471111"/>
    <n v="4.0640833277451849"/>
    <m/>
    <n v="8442.3330130238501"/>
    <n v="844.23330130238503"/>
    <n v="0.15377655761427778"/>
    <n v="6.9728607228548753"/>
    <n v="1.162143453809146"/>
    <n v="45.34410726207765"/>
    <n v="7.5573512103462752"/>
    <n v="51.261273319658898"/>
    <n v="58.234134042513773"/>
    <n v="96.60538058173654"/>
    <n v="8.5435455532764824"/>
    <n v="9.7056890070856277"/>
    <n v="16.100896763622757"/>
    <n v="4"/>
    <n v="5.1261273319658898"/>
    <n v="620.64159494499347"/>
  </r>
  <r>
    <s v="Apache Corp"/>
    <x v="1"/>
    <x v="7"/>
    <n v="215.82900000000001"/>
    <n v="48.789000000000001"/>
    <n v="21.463999999999999"/>
    <n v="106.22450000000001"/>
    <n v="637.34699999999998"/>
    <n v="375.59099999999995"/>
    <n v="69.623000000000005"/>
    <n v="3.1310000000000002"/>
    <n v="135.35249999999999"/>
    <n v="812.11500000000001"/>
    <n v="241.577"/>
    <n v="1449.462"/>
    <n v="0.43971280378512856"/>
    <n v="0.33863656689370158"/>
    <n v="0.45930082043219783"/>
    <n v="0.20206261267410058"/>
    <n v="170.125"/>
    <n v="69.828000000000003"/>
    <n v="580.29899999999998"/>
    <n v="2020.0170000000001"/>
    <n v="-203.38099999999963"/>
    <n v="336.66949999999997"/>
    <n v="-33.896833333333348"/>
    <n v="-9.1473051608394043E-2"/>
    <m/>
    <n v="35.909999999999997"/>
    <n v="203.31800000000001"/>
    <n v="21.337"/>
    <n v="0"/>
    <n v="260.565"/>
    <n v="3.0830000000000002"/>
    <n v="57.011000000000003"/>
    <n v="15.24"/>
    <n v="0"/>
    <n v="75.334000000000003"/>
    <n v="2.5939999999999999"/>
    <n v="47.515999999999998"/>
    <n v="2.9159999999999999"/>
    <n v="0"/>
    <n v="53.025999999999996"/>
    <n v="1030.7249999999999"/>
    <n v="171.78750000000002"/>
    <n v="1221"/>
    <n v="102"/>
    <n v="505"/>
    <n v="5018"/>
    <n v="6846"/>
    <n v="20887"/>
    <n v="687.03133333333335"/>
    <n v="4122.1880000000001"/>
    <n v="30.401815734750574"/>
    <n v="5.0669692891250957"/>
    <m/>
    <n v="1014"/>
    <n v="453"/>
    <n v="0"/>
    <n v="199.1899001146632"/>
    <n v="1357"/>
    <n v="0"/>
    <n v="596.69027473641938"/>
    <n v="0"/>
    <n v="350"/>
    <n v="350"/>
    <n v="499"/>
    <n v="0"/>
    <n v="219.41668908877912"/>
    <n v="12691"/>
    <n v="12691"/>
    <n v="0.4397128037851285"/>
    <n v="2379.2968639398614"/>
    <n v="22.398757950753932"/>
    <n v="3.7331263251256561"/>
    <m/>
    <n v="9225.2968639398605"/>
    <n v="922.52968639398614"/>
    <n v="0.13475455541834447"/>
    <n v="8.6847166745335223"/>
    <n v="1.4474527790889204"/>
    <n v="64.448408794581283"/>
    <n v="10.741401465763548"/>
    <n v="52.800573685504503"/>
    <n v="61.485290360038022"/>
    <n v="117.24898248008579"/>
    <n v="8.8000956142507523"/>
    <n v="10.247548393339672"/>
    <n v="19.541497080014302"/>
    <n v="4"/>
    <n v="5.2800573685504499"/>
    <n v="560.87145394558729"/>
  </r>
  <r>
    <s v="Apache Corp"/>
    <x v="1"/>
    <x v="8"/>
    <n v="160.614"/>
    <n v="45.137999999999998"/>
    <n v="19.684000000000001"/>
    <n v="91.590999999999994"/>
    <n v="549.54600000000005"/>
    <n v="293.15800000000002"/>
    <n v="63.353000000000002"/>
    <n v="3.036999999999999"/>
    <n v="115.24966666666668"/>
    <n v="691.49800000000005"/>
    <n v="206.84066666666666"/>
    <n v="1241.0440000000001"/>
    <n v="0.44280944108347486"/>
    <n v="0.29226670742758565"/>
    <n v="0.49282134707558606"/>
    <n v="0.21491194549682832"/>
    <n v="60.505000000000003"/>
    <n v="24.939"/>
    <n v="208.59399999999999"/>
    <n v="721.25800000000004"/>
    <n v="-1298.759"/>
    <n v="120.20966666666666"/>
    <n v="-216.45983333333331"/>
    <n v="-0.64294458908019092"/>
    <m/>
    <n v="-503.96899999999999"/>
    <n v="40.901000000000003"/>
    <n v="0"/>
    <n v="0"/>
    <n v="-463.06799999999998"/>
    <n v="-173.90700000000001"/>
    <n v="13.903"/>
    <n v="0"/>
    <n v="0"/>
    <n v="-160.00400000000002"/>
    <n v="-64.225999999999999"/>
    <n v="5.7679999999999998"/>
    <n v="0"/>
    <n v="0"/>
    <n v="-58.457999999999998"/>
    <n v="-1773.8400000000001"/>
    <n v="-295.64"/>
    <n v="313"/>
    <n v="1"/>
    <n v="194"/>
    <n v="1606"/>
    <n v="2114"/>
    <n v="14450"/>
    <n v="143.48000000000002"/>
    <n v="860.88000000000011"/>
    <n v="100.71090047393363"/>
    <n v="16.785150078988938"/>
    <m/>
    <n v="807"/>
    <n v="380"/>
    <n v="0"/>
    <n v="168.26758761172044"/>
    <n v="573"/>
    <n v="0"/>
    <n v="253.72980974083109"/>
    <n v="0"/>
    <n v="184"/>
    <n v="184"/>
    <n v="486"/>
    <n v="0"/>
    <n v="215.2053883665688"/>
    <n v="6383"/>
    <n v="6383"/>
    <n v="0.44280944108347486"/>
    <n v="1628.2027857191204"/>
    <n v="17.776886219378763"/>
    <n v="2.9628143698964604"/>
    <m/>
    <n v="3742.2027857191206"/>
    <n v="374.2202785719121"/>
    <n v="0.17701999932446175"/>
    <n v="4.0857756610574416"/>
    <n v="0.68096261017624016"/>
    <n v="23.080870391195642"/>
    <n v="3.8468117318659401"/>
    <n v="118.4877866933124"/>
    <n v="122.57356235436984"/>
    <n v="141.56865708450803"/>
    <n v="19.747964448885398"/>
    <n v="20.428927059061639"/>
    <n v="23.594776180751339"/>
    <n v="4"/>
    <n v="11.84877866933124"/>
    <n v="1085.2414871027177"/>
  </r>
  <r>
    <s v="Apache Corp"/>
    <x v="1"/>
    <x v="9"/>
    <n v="145.01900000000001"/>
    <n v="38"/>
    <n v="19.824000000000002"/>
    <n v="81.993833333333328"/>
    <n v="491.96300000000002"/>
    <n v="258.51400000000001"/>
    <n v="62.744"/>
    <n v="3.1179999999999986"/>
    <n v="108.94766666666666"/>
    <n v="653.68600000000004"/>
    <n v="190.94149999999999"/>
    <n v="1145.6490000000001"/>
    <n v="0.42941860901550122"/>
    <n v="0.29477623317200685"/>
    <n v="0.46344948705492084"/>
    <n v="0.24177427977307239"/>
    <n v="21.088000000000001"/>
    <n v="17.311"/>
    <n v="231.304"/>
    <n v="461.69799999999998"/>
    <n v="-259.56000000000006"/>
    <n v="76.949666666666673"/>
    <n v="-43.259999999999991"/>
    <n v="-0.35987122499854413"/>
    <m/>
    <n v="-215.37799999999999"/>
    <n v="219.63300000000001"/>
    <n v="7.0000000000000001E-3"/>
    <n v="0"/>
    <n v="4.2620000000000235"/>
    <n v="-58.881999999999998"/>
    <n v="9.6140000000000008"/>
    <n v="2.1000000000000001E-2"/>
    <n v="0"/>
    <n v="-49.247"/>
    <n v="6.8239999999999998"/>
    <n v="10.238"/>
    <n v="2E-3"/>
    <n v="0"/>
    <n v="17.063999999999997"/>
    <n v="-188.83599999999998"/>
    <n v="-31.472666666666665"/>
    <n v="110"/>
    <n v="0"/>
    <n v="278"/>
    <n v="450"/>
    <n v="838"/>
    <n v="9798"/>
    <n v="-155.32516666666663"/>
    <n v="-931.95100000000025"/>
    <n v="-63.08056968660371"/>
    <n v="-10.513428281100612"/>
    <m/>
    <n v="633"/>
    <n v="410"/>
    <n v="0"/>
    <n v="176.06162969635548"/>
    <n v="305"/>
    <n v="0"/>
    <n v="130.97267574972784"/>
    <n v="0"/>
    <n v="139"/>
    <n v="139"/>
    <n v="464"/>
    <n v="0"/>
    <n v="199.25023458319254"/>
    <n v="5208"/>
    <n v="5208"/>
    <n v="0.42941860901550116"/>
    <n v="1278.2845400292758"/>
    <n v="15.590008273336929"/>
    <n v="2.5983347122228211"/>
    <m/>
    <n v="2116.2845400292758"/>
    <n v="211.62845400292758"/>
    <n v="0.25253992124454366"/>
    <n v="2.5810289066811234"/>
    <n v="0.43017148444685388"/>
    <n v="10.220280793474307"/>
    <n v="1.7033801322457176"/>
    <n v="-47.490561413266782"/>
    <n v="-44.909532506585656"/>
    <n v="-37.270280619792473"/>
    <n v="-7.9150935688777917"/>
    <n v="-7.4849220844309379"/>
    <n v="-6.2117134366320741"/>
    <n v="4"/>
    <n v="-4.7490561413266779"/>
    <n v="-389.39331774258272"/>
  </r>
  <r>
    <s v="Cabot Oil &amp; Gas"/>
    <x v="2"/>
    <x v="0"/>
    <n v="80.474999999999994"/>
    <n v="0.83"/>
    <n v="0"/>
    <n v="14.2425"/>
    <n v="85.454999999999998"/>
    <n v="0"/>
    <n v="0"/>
    <n v="0"/>
    <n v="0"/>
    <n v="0"/>
    <n v="14.2425"/>
    <n v="85.454999999999998"/>
    <n v="1"/>
    <n v="0.94172371423556256"/>
    <n v="5.827628576443742E-2"/>
    <n v="0"/>
    <n v="2.302"/>
    <n v="0"/>
    <n v="426.01600000000002"/>
    <n v="439.82800000000003"/>
    <m/>
    <n v="73.304666666666677"/>
    <m/>
    <m/>
    <m/>
    <n v="2.6040000000000001"/>
    <n v="265.83"/>
    <n v="3.7010000000000001"/>
    <n v="0"/>
    <n v="272.13499999999999"/>
    <n v="0.77100000000000002"/>
    <n v="1.381"/>
    <n v="3.3000000000000002E-2"/>
    <n v="0"/>
    <n v="2.1850000000000001"/>
    <n v="0"/>
    <n v="0"/>
    <n v="0"/>
    <n v="0"/>
    <n v="0"/>
    <n v="285.245"/>
    <n v="47.540833333333332"/>
    <n v="22.186"/>
    <n v="3.9820000000000002"/>
    <n v="70.242000000000004"/>
    <n v="494.20400000000001"/>
    <n v="590.61400000000003"/>
    <m/>
    <m/>
    <m/>
    <m/>
    <m/>
    <m/>
    <m/>
    <m/>
    <m/>
    <m/>
    <m/>
    <m/>
    <m/>
    <m/>
    <m/>
    <m/>
    <m/>
    <m/>
    <m/>
    <n v="0"/>
    <n v="0"/>
    <m/>
    <m/>
    <m/>
    <m/>
    <m/>
    <m/>
    <m/>
    <m/>
    <m/>
    <m/>
    <m/>
    <m/>
    <m/>
    <m/>
    <m/>
    <m/>
    <m/>
    <m/>
    <n v="4"/>
    <m/>
    <m/>
  </r>
  <r>
    <s v="Cabot Oil &amp; Gas"/>
    <x v="2"/>
    <x v="1"/>
    <n v="90.424999999999997"/>
    <n v="0.79400000000000004"/>
    <n v="0"/>
    <n v="15.864833333333333"/>
    <n v="95.188999999999993"/>
    <n v="0"/>
    <n v="0"/>
    <n v="0"/>
    <n v="0"/>
    <n v="0"/>
    <n v="15.864833333333333"/>
    <n v="95.188999999999993"/>
    <n v="1"/>
    <n v="0.94995220035928529"/>
    <n v="5.0047799640714791E-2"/>
    <n v="0"/>
    <n v="2.613"/>
    <n v="0"/>
    <n v="577.83799999999997"/>
    <n v="593.51599999999996"/>
    <n v="153.68799999999993"/>
    <n v="98.919333333333327"/>
    <n v="25.61466666666665"/>
    <n v="0.34942750347863227"/>
    <m/>
    <n v="-47.744999999999997"/>
    <n v="297.089"/>
    <n v="167.262"/>
    <n v="0"/>
    <n v="416.60599999999999"/>
    <n v="-1.593"/>
    <n v="1.1339999999999999"/>
    <n v="1.268"/>
    <n v="0"/>
    <n v="0.80899999999999994"/>
    <n v="0"/>
    <n v="0"/>
    <n v="0"/>
    <n v="0"/>
    <n v="0"/>
    <n v="421.46"/>
    <n v="70.243333333333325"/>
    <n v="152.666"/>
    <n v="605.86"/>
    <n v="89.02"/>
    <n v="594.221"/>
    <n v="1441.7670000000001"/>
    <m/>
    <m/>
    <m/>
    <m/>
    <m/>
    <m/>
    <m/>
    <m/>
    <m/>
    <m/>
    <m/>
    <m/>
    <m/>
    <m/>
    <m/>
    <m/>
    <m/>
    <m/>
    <m/>
    <n v="0"/>
    <n v="0"/>
    <m/>
    <m/>
    <m/>
    <m/>
    <m/>
    <m/>
    <m/>
    <m/>
    <m/>
    <m/>
    <m/>
    <m/>
    <m/>
    <m/>
    <m/>
    <m/>
    <m/>
    <m/>
    <n v="4"/>
    <m/>
    <m/>
  </r>
  <r>
    <s v="Cabot Oil &amp; Gas"/>
    <x v="2"/>
    <x v="2"/>
    <n v="97.914000000000001"/>
    <n v="0.84399999999999997"/>
    <n v="0"/>
    <n v="17.163"/>
    <n v="102.97800000000001"/>
    <n v="0"/>
    <n v="0"/>
    <n v="0"/>
    <n v="0"/>
    <n v="0"/>
    <n v="17.163"/>
    <n v="102.97800000000001"/>
    <n v="1"/>
    <n v="0.95082444794033671"/>
    <n v="4.917555205966323E-2"/>
    <n v="0"/>
    <n v="1.7010000000000001"/>
    <n v="0"/>
    <n v="725"/>
    <n v="735.20600000000002"/>
    <n v="141.69000000000005"/>
    <n v="122.53433333333332"/>
    <n v="23.614999999999995"/>
    <n v="0.238729874173569"/>
    <m/>
    <n v="-193.767"/>
    <n v="459.61200000000002"/>
    <n v="9"/>
    <n v="0"/>
    <n v="274.84500000000003"/>
    <n v="-1.0620000000000001"/>
    <n v="0.54400000000000004"/>
    <n v="0"/>
    <n v="0"/>
    <n v="-0.51800000000000002"/>
    <n v="0"/>
    <n v="0"/>
    <n v="0"/>
    <n v="0"/>
    <n v="0"/>
    <n v="271.73700000000002"/>
    <n v="45.289500000000004"/>
    <n v="145.68100000000001"/>
    <n v="0.39400000000000002"/>
    <n v="68.195999999999998"/>
    <n v="379.14"/>
    <n v="593.41100000000006"/>
    <n v="2625.7920000000004"/>
    <n v="163.07366666666667"/>
    <n v="978.44200000000001"/>
    <n v="16.101876248157787"/>
    <n v="2.6836460413596313"/>
    <m/>
    <n v="107.794"/>
    <n v="0"/>
    <n v="68.373999999999995"/>
    <n v="68.373999999999995"/>
    <n v="0"/>
    <n v="27.08"/>
    <n v="27.08"/>
    <n v="0"/>
    <n v="44.649000000000001"/>
    <n v="44.649000000000001"/>
    <n v="0"/>
    <n v="53.241099999999996"/>
    <n v="53.241099999999996"/>
    <n v="743.54300000000001"/>
    <n v="743.54300000000001"/>
    <n v="1"/>
    <n v="301.13809999999995"/>
    <n v="17.545772883528517"/>
    <n v="2.9242954805880861"/>
    <m/>
    <n v="894.54909999999995"/>
    <n v="89.454909999999998"/>
    <n v="0.15074696963824397"/>
    <n v="5.2120788906368345"/>
    <n v="0.86867981510613912"/>
    <n v="34.575016022839833"/>
    <n v="5.7625026704733049"/>
    <n v="33.647649131686308"/>
    <n v="38.859728022323139"/>
    <n v="68.22266515452614"/>
    <n v="5.6079415219477173"/>
    <n v="6.4766213370538566"/>
    <n v="11.370444192421022"/>
    <n v="4"/>
    <n v="3.3647649131686306"/>
    <n v="57.749460204713209"/>
  </r>
  <r>
    <s v="Cabot Oil &amp; Gas"/>
    <x v="2"/>
    <x v="3"/>
    <n v="125.474"/>
    <n v="0.85799999999999998"/>
    <n v="0"/>
    <n v="21.770333333333333"/>
    <n v="130.62200000000001"/>
    <n v="0"/>
    <n v="0"/>
    <n v="0"/>
    <n v="0"/>
    <n v="0"/>
    <n v="21.770333333333333"/>
    <n v="130.62200000000001"/>
    <n v="1"/>
    <n v="0.96058856854128705"/>
    <n v="3.9411431458712926E-2"/>
    <n v="0"/>
    <n v="2.3620000000000001"/>
    <n v="0"/>
    <n v="963"/>
    <n v="977.17200000000003"/>
    <n v="241.96600000000001"/>
    <n v="162.86199999999999"/>
    <n v="40.327666666666673"/>
    <n v="0.32911320092599905"/>
    <m/>
    <n v="139.01599999999999"/>
    <n v="632.98"/>
    <n v="0.59299999999999997"/>
    <n v="0"/>
    <n v="772.58899999999994"/>
    <n v="-0.379"/>
    <n v="2.944"/>
    <n v="4"/>
    <n v="0"/>
    <n v="6.5649999999999995"/>
    <n v="0"/>
    <n v="0"/>
    <n v="0"/>
    <n v="0"/>
    <n v="0"/>
    <n v="811.97899999999993"/>
    <n v="135.32983333333331"/>
    <n v="130.67500000000001"/>
    <n v="0.80100000000000005"/>
    <n v="66.367999999999995"/>
    <n v="630.51099999999997"/>
    <n v="828.35500000000002"/>
    <n v="2863.5330000000004"/>
    <n v="250.86266666666666"/>
    <n v="1505.1759999999999"/>
    <n v="11.414743525009701"/>
    <n v="1.9024572541682836"/>
    <m/>
    <n v="118.711"/>
    <n v="0"/>
    <n v="79.177000000000007"/>
    <n v="79.177000000000007"/>
    <n v="0"/>
    <n v="1.05"/>
    <n v="1.05"/>
    <n v="0"/>
    <n v="37.893999999999998"/>
    <n v="37.893999999999998"/>
    <n v="0"/>
    <n v="57.712600000000002"/>
    <n v="57.712600000000002"/>
    <n v="713.64599999999996"/>
    <n v="713.64599999999996"/>
    <n v="1"/>
    <n v="294.5446"/>
    <n v="13.529632068104913"/>
    <n v="2.2549386780174854"/>
    <m/>
    <n v="1122.8996"/>
    <n v="112.28996000000001"/>
    <n v="0.13555777414272865"/>
    <n v="5.1579348042443085"/>
    <n v="0.85965580070738468"/>
    <n v="38.04971597433817"/>
    <n v="6.3416193290563605"/>
    <n v="24.944375593114614"/>
    <n v="30.102310397358924"/>
    <n v="62.994091567452784"/>
    <n v="4.1573959321857687"/>
    <n v="5.0170517328931536"/>
    <n v="10.499015261242128"/>
    <n v="4"/>
    <n v="2.4944375593114616"/>
    <n v="54.304737145396956"/>
  </r>
  <r>
    <s v="Cabot Oil &amp; Gas"/>
    <x v="2"/>
    <x v="4"/>
    <n v="179"/>
    <n v="1.08"/>
    <n v="0"/>
    <n v="30.913333333333334"/>
    <n v="185.48"/>
    <n v="0"/>
    <n v="0"/>
    <n v="0"/>
    <n v="0"/>
    <n v="0"/>
    <n v="30.913333333333334"/>
    <n v="185.48"/>
    <n v="1"/>
    <n v="0.96506361871899937"/>
    <n v="3.4936381281000649E-2"/>
    <n v="0"/>
    <n v="9.548"/>
    <n v="0"/>
    <n v="1176"/>
    <n v="1233.288"/>
    <n v="256.11599999999999"/>
    <n v="205.548"/>
    <n v="42.686000000000007"/>
    <n v="0.26209920055015906"/>
    <s v="NGLs were 7.6% of proved crude &amp; NGL reserves; All reserves in US"/>
    <n v="22"/>
    <n v="629"/>
    <n v="0"/>
    <n v="0"/>
    <n v="651"/>
    <n v="-0.08"/>
    <n v="13.583"/>
    <n v="0"/>
    <n v="0"/>
    <n v="13.503"/>
    <n v="0"/>
    <n v="0"/>
    <n v="0"/>
    <n v="0"/>
    <n v="0"/>
    <n v="732.01800000000003"/>
    <n v="122.003"/>
    <n v="71.134"/>
    <n v="0"/>
    <n v="53.484000000000002"/>
    <n v="763.63499999999999"/>
    <n v="888.25299999999993"/>
    <n v="2310.0190000000002"/>
    <n v="302.6223333333333"/>
    <n v="1815.7339999999999"/>
    <n v="7.633339464921626"/>
    <n v="1.2722232441536041"/>
    <m/>
    <n v="180.73099999999999"/>
    <n v="0"/>
    <n v="104.667"/>
    <n v="104.667"/>
    <n v="0"/>
    <n v="65.352000000000004"/>
    <n v="65.352000000000004"/>
    <n v="0"/>
    <n v="27.576000000000001"/>
    <n v="27.576000000000001"/>
    <n v="0"/>
    <n v="53.671600000000005"/>
    <n v="53.671600000000005"/>
    <n v="796.51700000000005"/>
    <n v="796.51700000000005"/>
    <n v="1"/>
    <n v="431.99760000000003"/>
    <n v="13.974474875997412"/>
    <n v="2.329079145999569"/>
    <m/>
    <n v="1320.2505999999998"/>
    <n v="132.02506"/>
    <n v="0.14863452192111934"/>
    <n v="4.2708128100064693"/>
    <n v="0.71180213500107825"/>
    <n v="28.733653224067282"/>
    <n v="4.7889422040112137"/>
    <n v="21.607814340919038"/>
    <n v="25.878627150925507"/>
    <n v="50.341467564986317"/>
    <n v="3.6013023901531733"/>
    <n v="4.3131045251542517"/>
    <n v="8.3902445941643862"/>
    <n v="4"/>
    <n v="2.1607814340919038"/>
    <n v="66.796956732561057"/>
  </r>
  <r>
    <s v="Cabot Oil &amp; Gas"/>
    <x v="2"/>
    <x v="5"/>
    <n v="253"/>
    <n v="2.407"/>
    <n v="0"/>
    <n v="44.573666666666668"/>
    <n v="267.44200000000001"/>
    <n v="0"/>
    <n v="0"/>
    <n v="0"/>
    <n v="0"/>
    <n v="0"/>
    <n v="44.573666666666668"/>
    <n v="267.44200000000001"/>
    <n v="1"/>
    <n v="0.94599950643504005"/>
    <n v="5.4000493564959881E-2"/>
    <n v="0"/>
    <n v="11.545999999999999"/>
    <n v="0"/>
    <n v="1480"/>
    <n v="1549.2760000000001"/>
    <n v="315.98800000000006"/>
    <n v="258.21266666666668"/>
    <n v="52.664666666666676"/>
    <n v="0.25621590415215267"/>
    <s v="NGLs were 8.7 %of proved crude &amp; NGL reserves; All reserves in US"/>
    <n v="207"/>
    <n v="869"/>
    <n v="0"/>
    <n v="0"/>
    <n v="1076"/>
    <n v="-3.101"/>
    <n v="9.6280000000000001"/>
    <n v="0"/>
    <n v="0"/>
    <n v="6.5270000000000001"/>
    <n v="0"/>
    <n v="0"/>
    <n v="0"/>
    <n v="0"/>
    <n v="0"/>
    <n v="1115.162"/>
    <n v="185.86033333333333"/>
    <n v="88.88"/>
    <n v="0"/>
    <n v="59.198"/>
    <n v="821.80600000000004"/>
    <n v="969.88400000000001"/>
    <n v="2686.4920000000002"/>
    <n v="443.19316666666668"/>
    <n v="2659.1589999999997"/>
    <n v="6.0616728822909804"/>
    <n v="1.0102788137151635"/>
    <m/>
    <n v="261.55200000000002"/>
    <n v="0"/>
    <n v="121.239"/>
    <n v="121.239"/>
    <n v="0"/>
    <n v="22.501000000000001"/>
    <n v="22.501000000000001"/>
    <n v="0"/>
    <n v="48.874000000000002"/>
    <n v="48.874000000000002"/>
    <n v="0"/>
    <n v="51.094100000000005"/>
    <n v="51.094100000000005"/>
    <n v="1162.067"/>
    <n v="1162.067"/>
    <n v="1"/>
    <n v="505.26010000000002"/>
    <n v="11.33539459022891"/>
    <n v="1.8892324317048184"/>
    <m/>
    <n v="1475.1441"/>
    <n v="147.51441"/>
    <n v="0.15209490000866083"/>
    <n v="3.3094519933293944"/>
    <n v="0.55157533222156574"/>
    <n v="21.759125343065037"/>
    <n v="3.6265208905108395"/>
    <n v="17.39706747251989"/>
    <n v="20.706519465849283"/>
    <n v="39.15619281558493"/>
    <n v="2.8995112454199816"/>
    <n v="3.4510865776415471"/>
    <n v="6.5260321359308211"/>
    <n v="4"/>
    <n v="1.7397067472519889"/>
    <n v="77.545108649761076"/>
  </r>
  <r>
    <s v="Cabot Oil &amp; Gas"/>
    <x v="2"/>
    <x v="6"/>
    <n v="394"/>
    <n v="3.2210000000000001"/>
    <n v="0"/>
    <n v="68.887666666666675"/>
    <n v="413.32600000000002"/>
    <n v="0"/>
    <n v="0"/>
    <n v="0"/>
    <n v="0"/>
    <n v="0"/>
    <n v="68.887666666666675"/>
    <n v="413.32600000000002"/>
    <n v="1"/>
    <n v="0.95324271882243072"/>
    <n v="4.6757281177569276E-2"/>
    <n v="0"/>
    <n v="12.885999999999999"/>
    <n v="0"/>
    <n v="2148"/>
    <n v="2225.3159999999998"/>
    <n v="676.03999999999974"/>
    <n v="370.88600000000002"/>
    <n v="112.67333333333335"/>
    <n v="0.43635866043235683"/>
    <s v="NGLs were 12.3% of proved crude &amp; NGL reserves; All reserves in US"/>
    <n v="435"/>
    <n v="1661"/>
    <n v="0"/>
    <n v="0"/>
    <n v="2096"/>
    <n v="-0.41899999999999998"/>
    <n v="10.683"/>
    <n v="0"/>
    <n v="0"/>
    <n v="10.263999999999999"/>
    <n v="0"/>
    <n v="0"/>
    <n v="0"/>
    <n v="0"/>
    <n v="0"/>
    <n v="2157.5839999999998"/>
    <n v="359.59733333333332"/>
    <n v="71.233999999999995"/>
    <n v="0"/>
    <n v="44.905999999999999"/>
    <n v="1069.9649999999999"/>
    <n v="1186.105"/>
    <n v="3044.2420000000002"/>
    <n v="667.46066666666661"/>
    <n v="4004.7640000000001"/>
    <n v="4.5609309312608692"/>
    <n v="0.76015515521014476"/>
    <m/>
    <n v="370.34199999999998"/>
    <n v="0"/>
    <n v="104.60599999999999"/>
    <n v="104.60599999999999"/>
    <n v="0"/>
    <n v="35.280999999999999"/>
    <n v="35.280999999999999"/>
    <n v="0"/>
    <n v="43.045000000000002"/>
    <n v="43.045000000000002"/>
    <n v="0"/>
    <n v="53.301100000000005"/>
    <n v="53.301100000000005"/>
    <n v="1696.6799999999998"/>
    <n v="1696.6799999999998"/>
    <n v="1"/>
    <n v="606.57510000000002"/>
    <n v="8.8052786420404221"/>
    <n v="1.4675464403400704"/>
    <m/>
    <n v="1792.6801"/>
    <n v="179.26801"/>
    <n v="0.15114008456249658"/>
    <n v="2.6023237347759394"/>
    <n v="0.43372062246265658"/>
    <n v="17.217958705718971"/>
    <n v="2.8696597842864953"/>
    <n v="13.36620957330129"/>
    <n v="15.96853330807723"/>
    <n v="30.584168279020261"/>
    <n v="2.2277015955502151"/>
    <n v="2.6614222180128717"/>
    <n v="5.0973613798367108"/>
    <n v="4"/>
    <n v="1.3366209573301291"/>
    <n v="92.07669896823883"/>
  </r>
  <r>
    <s v="Cabot Oil &amp; Gas"/>
    <x v="2"/>
    <x v="7"/>
    <n v="508"/>
    <n v="3.9609999999999999"/>
    <n v="0"/>
    <n v="88.62766666666667"/>
    <n v="531.76599999999996"/>
    <n v="0"/>
    <n v="0"/>
    <n v="0"/>
    <n v="0"/>
    <n v="0"/>
    <n v="88.62766666666667"/>
    <n v="531.76599999999996"/>
    <n v="1"/>
    <n v="0.9553074096501093"/>
    <n v="4.4692590349890739E-2"/>
    <n v="0"/>
    <n v="25.914999999999999"/>
    <n v="0"/>
    <n v="2743"/>
    <n v="2898.49"/>
    <n v="673.17399999999998"/>
    <n v="483.08166666666671"/>
    <n v="112.19566666666668"/>
    <n v="0.30250714954640151"/>
    <m/>
    <n v="483"/>
    <n v="1807"/>
    <n v="7"/>
    <n v="0"/>
    <n v="2297"/>
    <n v="1.6879999999999999"/>
    <n v="17.222999999999999"/>
    <n v="11.778"/>
    <n v="0"/>
    <n v="30.689"/>
    <n v="0"/>
    <n v="0"/>
    <n v="0"/>
    <n v="0"/>
    <n v="0"/>
    <n v="2481.134"/>
    <n v="413.52233333333334"/>
    <n v="73.962000000000003"/>
    <n v="214.73699999999999"/>
    <n v="36.305999999999997"/>
    <n v="1446.7280000000001"/>
    <n v="1771.7330000000002"/>
    <n v="3927.7220000000002"/>
    <n v="958.98"/>
    <n v="5753.88"/>
    <n v="4.0957287951782106"/>
    <n v="0.68262146586303507"/>
    <s v="The net upward revision of 493.0 Bcfe was primarily due to (i) an upward performance revision of 492.1 Bcfe, primarily in the Dimock field in northeast Pennsylvania and (ii) an upward revision of 0.9 Bcfe associated with commodity pricing."/>
    <n v="494.85"/>
    <n v="0"/>
    <n v="82.59"/>
    <n v="82.59"/>
    <n v="0"/>
    <n v="77.028999999999996"/>
    <n v="77.028999999999996"/>
    <n v="0"/>
    <n v="47.012"/>
    <n v="47.012"/>
    <n v="0"/>
    <n v="63.305266666666668"/>
    <n v="63.305266666666668"/>
    <n v="1904.5140000000001"/>
    <n v="1904.5140000000001"/>
    <n v="1"/>
    <n v="764.78626666666673"/>
    <n v="8.6292045749446196"/>
    <n v="1.43820076249077"/>
    <m/>
    <n v="2536.5192666666671"/>
    <n v="253.65192666666672"/>
    <n v="0.14316599999360327"/>
    <n v="2.8619948624018843"/>
    <n v="0.47699914373364738"/>
    <n v="19.99074404907422"/>
    <n v="3.3317906748457036"/>
    <n v="12.72493337012283"/>
    <n v="15.586928232524714"/>
    <n v="32.71567741919705"/>
    <n v="2.1208222283538052"/>
    <n v="2.5978213720874526"/>
    <n v="5.4526129031995083"/>
    <n v="4"/>
    <n v="1.2724933370122831"/>
    <n v="112.77811530827896"/>
  </r>
  <r>
    <s v="Cabot Oil &amp; Gas"/>
    <x v="2"/>
    <x v="8"/>
    <n v="566"/>
    <n v="6.0960000000000001"/>
    <n v="0"/>
    <n v="100.42933333333333"/>
    <n v="602.57600000000002"/>
    <n v="0"/>
    <n v="0"/>
    <n v="0"/>
    <n v="0"/>
    <n v="0"/>
    <n v="100.42933333333333"/>
    <n v="602.57600000000002"/>
    <n v="1"/>
    <n v="0.93930060274554572"/>
    <n v="6.069939725445421E-2"/>
    <n v="0"/>
    <n v="30.143999999999998"/>
    <n v="0"/>
    <n v="3180"/>
    <n v="3360.864"/>
    <n v="462.37400000000025"/>
    <n v="560.14400000000001"/>
    <n v="77.062333333333299"/>
    <n v="0.15952237199369318"/>
    <m/>
    <n v="444"/>
    <n v="896"/>
    <n v="0"/>
    <n v="0"/>
    <n v="1340"/>
    <n v="-3.008"/>
    <n v="11.510999999999999"/>
    <n v="0.187"/>
    <n v="0"/>
    <n v="8.69"/>
    <n v="0"/>
    <n v="0"/>
    <n v="0"/>
    <n v="0"/>
    <n v="0"/>
    <n v="1392.14"/>
    <n v="232.02333333333334"/>
    <n v="20.097000000000001"/>
    <n v="16.312000000000001"/>
    <n v="34.003"/>
    <n v="723.45100000000002"/>
    <n v="793.86300000000006"/>
    <n v="3751.701"/>
    <n v="1005.143"/>
    <n v="6030.8580000000002"/>
    <n v="3.7325047281829549"/>
    <n v="0.62208412136382585"/>
    <m/>
    <n v="568.40200000000004"/>
    <n v="0"/>
    <n v="69.444000000000003"/>
    <n v="69.444000000000003"/>
    <n v="0"/>
    <n v="7.55"/>
    <n v="7.55"/>
    <n v="0"/>
    <n v="42.808999999999997"/>
    <n v="42.808999999999997"/>
    <n v="0"/>
    <n v="85.296600000000012"/>
    <n v="85.296600000000012"/>
    <n v="1273.2550000000001"/>
    <n v="1273.2550000000001"/>
    <n v="1"/>
    <n v="773.50160000000005"/>
    <n v="7.7019489657736129"/>
    <n v="1.2836581609622686"/>
    <m/>
    <n v="1567.3646000000001"/>
    <n v="156.73646000000002"/>
    <n v="0.19743514938975618"/>
    <n v="1.560664148588726"/>
    <n v="0.26011069143145432"/>
    <n v="7.9046925201136462"/>
    <n v="1.3174487533522743"/>
    <n v="11.434453693956568"/>
    <n v="12.995117842545294"/>
    <n v="19.339146214070215"/>
    <n v="1.9057422823260945"/>
    <n v="2.1658529737575489"/>
    <n v="3.2231910356783686"/>
    <n v="4"/>
    <n v="1.1434453693956568"/>
    <n v="114.83545615149288"/>
  </r>
  <r>
    <s v="Cabot Oil &amp; Gas"/>
    <x v="2"/>
    <x v="9"/>
    <n v="600"/>
    <n v="4.4539999999999997"/>
    <n v="0.627"/>
    <n v="105.08099999999999"/>
    <n v="630.48599999999999"/>
    <n v="0"/>
    <n v="0"/>
    <n v="0"/>
    <n v="0"/>
    <n v="0"/>
    <n v="105.08099999999999"/>
    <n v="630.48599999999999"/>
    <n v="1"/>
    <n v="0.951646824830369"/>
    <n v="4.2386349577944633E-2"/>
    <n v="5.9668255916864137E-3"/>
    <n v="28.73"/>
    <n v="0"/>
    <n v="2781"/>
    <n v="2953.38"/>
    <n v="-407.48399999999992"/>
    <n v="492.23"/>
    <n v="-67.913999999999987"/>
    <n v="-0.12124382301693848"/>
    <m/>
    <n v="405"/>
    <n v="650"/>
    <n v="0"/>
    <n v="0"/>
    <n v="1055"/>
    <n v="-5.867"/>
    <n v="5.54"/>
    <n v="0"/>
    <n v="0"/>
    <n v="-0.32699999999999996"/>
    <n v="0"/>
    <n v="0"/>
    <n v="0"/>
    <n v="0"/>
    <n v="0"/>
    <n v="1053.038"/>
    <n v="175.50633333333334"/>
    <n v="2.7029999999999998"/>
    <n v="0"/>
    <n v="27.64"/>
    <n v="359.50099999999998"/>
    <n v="389.84399999999999"/>
    <n v="2955.4400000000005"/>
    <n v="821.05200000000002"/>
    <n v="4926.3119999999999"/>
    <n v="3.5995771278798423"/>
    <n v="0.59992952131330712"/>
    <m/>
    <n v="537.23799999999994"/>
    <n v="0"/>
    <n v="87.242000000000004"/>
    <n v="87.242000000000004"/>
    <n v="0"/>
    <n v="0.68799999999999994"/>
    <n v="0.68799999999999994"/>
    <m/>
    <n v="29.222999999999999"/>
    <n v="29.222999999999999"/>
    <m/>
    <n v="55.5861011"/>
    <n v="55.5861011"/>
    <n v="1173.6959999999999"/>
    <n v="1173.6959999999999"/>
    <n v="1"/>
    <n v="709.97710109999991"/>
    <n v="6.7564745396408483"/>
    <n v="1.1260790899401414"/>
    <m/>
    <n v="1099.8211010999999"/>
    <n v="109.98211010999999"/>
    <n v="0.28211825784159816"/>
    <n v="1.0466412587432552"/>
    <n v="0.17444020979054253"/>
    <n v="3.7099380477917037"/>
    <n v="0.61832300796528394"/>
    <n v="10.35605166752069"/>
    <n v="11.402692926263946"/>
    <n v="14.065989715312394"/>
    <n v="1.7260086112534485"/>
    <n v="1.9004488210439909"/>
    <n v="2.3443316192187327"/>
    <n v="4"/>
    <n v="1.0356051667520689"/>
    <n v="108.82242652747415"/>
  </r>
  <r>
    <s v="Chesapeake Energy"/>
    <x v="3"/>
    <x v="0"/>
    <n v="655"/>
    <n v="9.9"/>
    <n v="0"/>
    <n v="119.06666666666668"/>
    <n v="714.4"/>
    <n v="0"/>
    <n v="0"/>
    <n v="0"/>
    <n v="0"/>
    <n v="0"/>
    <n v="119.06666666666668"/>
    <n v="714.4"/>
    <n v="1"/>
    <n v="0.91685330347144456"/>
    <n v="8.3146696528555428E-2"/>
    <n v="0"/>
    <n v="34.72"/>
    <n v="0"/>
    <n v="3728.6770000000001"/>
    <n v="3936.9970000000003"/>
    <m/>
    <n v="656.16616666666675"/>
    <m/>
    <m/>
    <m/>
    <n v="1299"/>
    <n v="1053"/>
    <n v="329"/>
    <n v="0"/>
    <n v="2681"/>
    <n v="7.7"/>
    <n v="11.7"/>
    <n v="8.1"/>
    <n v="0"/>
    <n v="27.5"/>
    <n v="0"/>
    <n v="0"/>
    <n v="0"/>
    <n v="0"/>
    <n v="0"/>
    <n v="2846"/>
    <n v="474.33333333333331"/>
    <n v="2638"/>
    <n v="671"/>
    <n v="996"/>
    <n v="4402"/>
    <n v="8707"/>
    <m/>
    <m/>
    <m/>
    <m/>
    <m/>
    <s v="Costs &amp; Adds include oil; Sales excluded; Costs exclude asset retirement obligations"/>
    <m/>
    <m/>
    <m/>
    <m/>
    <m/>
    <m/>
    <m/>
    <m/>
    <m/>
    <m/>
    <m/>
    <m/>
    <m/>
    <n v="0"/>
    <n v="0"/>
    <m/>
    <m/>
    <m/>
    <m/>
    <m/>
    <m/>
    <m/>
    <m/>
    <m/>
    <m/>
    <m/>
    <m/>
    <m/>
    <m/>
    <m/>
    <m/>
    <m/>
    <m/>
    <n v="4"/>
    <m/>
    <m/>
  </r>
  <r>
    <s v="Chesapeake Energy"/>
    <x v="3"/>
    <x v="1"/>
    <n v="775"/>
    <n v="11.2"/>
    <n v="0"/>
    <n v="140.36666666666665"/>
    <n v="842.2"/>
    <n v="0"/>
    <n v="0"/>
    <n v="0"/>
    <n v="0"/>
    <n v="0"/>
    <n v="140.36666666666665"/>
    <n v="842.2"/>
    <n v="1"/>
    <n v="0.92020897649014477"/>
    <n v="7.9791023509855147E-2"/>
    <n v="0"/>
    <n v="35.719000000000001"/>
    <n v="0"/>
    <n v="3745.9319999999998"/>
    <n v="3960.2459999999996"/>
    <n v="23.248999999999342"/>
    <n v="660.04100000000005"/>
    <n v="3.8748333333332994"/>
    <n v="5.9052623103344488E-3"/>
    <m/>
    <n v="957"/>
    <n v="1526"/>
    <n v="156"/>
    <n v="0"/>
    <n v="2639"/>
    <n v="-1.2"/>
    <n v="11.5"/>
    <n v="2.5"/>
    <n v="0"/>
    <n v="12.8"/>
    <n v="0"/>
    <n v="0"/>
    <n v="0"/>
    <n v="0"/>
    <n v="0"/>
    <n v="2715.8"/>
    <n v="452.63333333333333"/>
    <n v="8263"/>
    <n v="355"/>
    <n v="926"/>
    <n v="5185"/>
    <n v="14729"/>
    <m/>
    <m/>
    <m/>
    <m/>
    <m/>
    <s v="Costs &amp; Adds include oil; Sales excluded; Costs exclude asset retirement obligations"/>
    <m/>
    <m/>
    <m/>
    <m/>
    <m/>
    <m/>
    <m/>
    <m/>
    <m/>
    <m/>
    <m/>
    <m/>
    <m/>
    <n v="0"/>
    <n v="0"/>
    <m/>
    <m/>
    <m/>
    <m/>
    <m/>
    <m/>
    <m/>
    <m/>
    <m/>
    <m/>
    <m/>
    <m/>
    <m/>
    <m/>
    <m/>
    <m/>
    <m/>
    <m/>
    <n v="4"/>
    <m/>
    <m/>
  </r>
  <r>
    <s v="Chesapeake Energy"/>
    <x v="3"/>
    <x v="2"/>
    <n v="835"/>
    <n v="11.8"/>
    <n v="0"/>
    <n v="150.96666666666667"/>
    <n v="905.8"/>
    <n v="0"/>
    <n v="0"/>
    <n v="0"/>
    <n v="0"/>
    <n v="0"/>
    <n v="150.96666666666667"/>
    <n v="905.8"/>
    <n v="1"/>
    <n v="0.92183705012143968"/>
    <n v="7.8162949878560387E-2"/>
    <n v="0"/>
    <n v="45.2"/>
    <n v="0"/>
    <n v="5651"/>
    <n v="5922.2"/>
    <n v="1961.9540000000002"/>
    <n v="987.03333333333342"/>
    <n v="326.99233333333336"/>
    <n v="0.49541215368944252"/>
    <m/>
    <n v="-1335"/>
    <n v="4530"/>
    <n v="32"/>
    <n v="0"/>
    <n v="3227"/>
    <n v="-10.3"/>
    <n v="27.1"/>
    <n v="0.2"/>
    <n v="0"/>
    <n v="17"/>
    <n v="0"/>
    <n v="0"/>
    <n v="0"/>
    <n v="0"/>
    <n v="0"/>
    <n v="3329"/>
    <n v="554.83333333333337"/>
    <n v="2793"/>
    <n v="61"/>
    <n v="813"/>
    <n v="2729"/>
    <n v="6396"/>
    <n v="29832"/>
    <n v="1481.8000000000002"/>
    <n v="8890.7999999999993"/>
    <n v="20.13227156161425"/>
    <n v="3.3553785936023757"/>
    <s v="Costs &amp; Adds include oil; Sales excluded; Costs exclude asset retirement obligations"/>
    <n v="1058"/>
    <n v="349"/>
    <n v="0"/>
    <n v="228.78486107504543"/>
    <n v="7"/>
    <n v="0"/>
    <n v="4.5888081017917424"/>
    <n v="0"/>
    <n v="107"/>
    <n v="107"/>
    <n v="825"/>
    <n v="0"/>
    <n v="540.82381199688393"/>
    <n v="5049"/>
    <n v="7702"/>
    <n v="0.65554401454167743"/>
    <n v="1939.1974811737211"/>
    <n v="12.845203010645095"/>
    <n v="2.1408671684408493"/>
    <s v="Net Operating loss"/>
    <n v="8335.1974811737218"/>
    <n v="833.51974811737227"/>
    <n v="0.13031890996206572"/>
    <n v="5.5212171436346145"/>
    <n v="0.92020285727243578"/>
    <n v="42.366968425701039"/>
    <n v="7.0611614042835065"/>
    <n v="32.977474572259347"/>
    <n v="38.498691715893962"/>
    <n v="75.344442997960385"/>
    <n v="5.496245762043225"/>
    <n v="6.4164486193156609"/>
    <n v="12.557407166326731"/>
    <n v="4"/>
    <n v="3.2977474572259347"/>
    <n v="497.84994112587526"/>
  </r>
  <r>
    <s v="Chesapeake Energy"/>
    <x v="3"/>
    <x v="3"/>
    <n v="925"/>
    <n v="10.9"/>
    <n v="7.5"/>
    <n v="172.56666666666666"/>
    <n v="1035.4000000000001"/>
    <n v="0"/>
    <n v="0"/>
    <n v="0"/>
    <n v="0"/>
    <n v="0"/>
    <n v="172.56666666666666"/>
    <n v="1035.4000000000001"/>
    <n v="1"/>
    <n v="0.89337454124010041"/>
    <n v="6.3163994591462241E-2"/>
    <n v="4.3461464168437318E-2"/>
    <n v="65.900000000000006"/>
    <n v="59.3"/>
    <n v="7209"/>
    <n v="7960.2"/>
    <n v="2038"/>
    <n v="1326.7"/>
    <n v="339.66666666666663"/>
    <n v="0.3441288710276586"/>
    <m/>
    <n v="-445"/>
    <n v="4678"/>
    <n v="63"/>
    <n v="0"/>
    <n v="4296"/>
    <n v="-3.6"/>
    <n v="47.6"/>
    <n v="4.2"/>
    <n v="0"/>
    <n v="48.2"/>
    <n v="108.3"/>
    <n v="22.3"/>
    <n v="0.2"/>
    <n v="0"/>
    <n v="130.79999999999998"/>
    <n v="5370"/>
    <n v="895"/>
    <n v="6953"/>
    <n v="243"/>
    <n v="872"/>
    <n v="4741"/>
    <n v="12809"/>
    <n v="33934"/>
    <n v="1902.4666666666667"/>
    <n v="11414.8"/>
    <n v="17.836843396292533"/>
    <n v="2.9728072327154225"/>
    <s v="Costs &amp; Adds include oil; Sales excluded; Costs exclude asset retirement obligations"/>
    <n v="1101"/>
    <n v="453"/>
    <n v="0"/>
    <n v="273.12524023062139"/>
    <n v="-291"/>
    <n v="0"/>
    <n v="-175.45131326073027"/>
    <n v="0"/>
    <n v="157"/>
    <n v="157"/>
    <n v="779"/>
    <n v="0"/>
    <n v="469.67894512064913"/>
    <n v="5647"/>
    <n v="9366"/>
    <n v="0.60292547512278449"/>
    <n v="1825.3528720905401"/>
    <n v="10.577667792682288"/>
    <n v="1.7629446321137145"/>
    <s v="Net Operating loss"/>
    <n v="14634.35287209054"/>
    <n v="1463.435287209054"/>
    <n v="0.11425054939566351"/>
    <n v="8.480405373048411"/>
    <n v="1.4134008955080681"/>
    <n v="74.226385937801822"/>
    <n v="12.371064322966967"/>
    <n v="28.414511188974821"/>
    <n v="36.894916562023234"/>
    <n v="102.64089712677665"/>
    <n v="4.7357518648291368"/>
    <n v="6.1491527603372047"/>
    <n v="17.106816187796106"/>
    <n v="4"/>
    <n v="2.8414511188974823"/>
    <n v="490.33974808440882"/>
  </r>
  <r>
    <s v="Chesapeake Energy"/>
    <x v="3"/>
    <x v="4"/>
    <n v="1004"/>
    <n v="17"/>
    <n v="14.7"/>
    <n v="199.03333333333333"/>
    <n v="1194.2"/>
    <n v="0"/>
    <n v="0"/>
    <n v="0"/>
    <n v="0"/>
    <n v="0"/>
    <n v="199.03333333333333"/>
    <n v="1194.2"/>
    <n v="1"/>
    <n v="0.84073019594707754"/>
    <n v="8.5412828671914257E-2"/>
    <n v="7.3856975381008202E-2"/>
    <n v="167.6"/>
    <n v="123.3"/>
    <n v="6937"/>
    <n v="8682.4"/>
    <n v="722.19999999999982"/>
    <n v="1447.0666666666666"/>
    <n v="120.36666666666656"/>
    <n v="9.0726363659204459E-2"/>
    <m/>
    <n v="-361"/>
    <n v="4156"/>
    <n v="23"/>
    <n v="0"/>
    <n v="3818"/>
    <n v="-7.8"/>
    <n v="168.4"/>
    <n v="0.5"/>
    <n v="0"/>
    <n v="161.1"/>
    <n v="60.6"/>
    <n v="85.2"/>
    <n v="0.7"/>
    <n v="0"/>
    <n v="146.5"/>
    <n v="5663.6"/>
    <n v="943.93333333333339"/>
    <n v="4736"/>
    <n v="48"/>
    <n v="2261"/>
    <n v="4767"/>
    <n v="11812"/>
    <n v="31017"/>
    <n v="2393.7666666666669"/>
    <n v="14362.6"/>
    <n v="12.95740325567794"/>
    <n v="2.1595672092796567"/>
    <s v="Costs &amp; Adds include oil; Sales excluded; Costs exclude asset retirement obligations"/>
    <n v="1475"/>
    <n v="548"/>
    <n v="0"/>
    <n v="283.72599914052427"/>
    <n v="-25"/>
    <n v="0"/>
    <n v="-12.943704340352385"/>
    <n v="0"/>
    <n v="192"/>
    <n v="192"/>
    <n v="723"/>
    <n v="0"/>
    <n v="374.331929522991"/>
    <n v="6024"/>
    <n v="11635"/>
    <n v="0.51774817361409542"/>
    <n v="2312.1142243231629"/>
    <n v="11.616718594824132"/>
    <n v="1.9361197658040219"/>
    <s v="Net Operating losses carryforwards of 3.1 billion at 12/31/11 will expire 2019-2031"/>
    <n v="14124.114224323162"/>
    <n v="1412.4114224323164"/>
    <n v="0.11957428229193331"/>
    <n v="7.0963561669685973"/>
    <n v="1.1827260278280993"/>
    <n v="59.34684307486183"/>
    <n v="9.8911405124769711"/>
    <n v="24.574121850502074"/>
    <n v="31.670478017470671"/>
    <n v="83.920964925363904"/>
    <n v="4.0956869750836784"/>
    <n v="5.278413002911778"/>
    <n v="13.98682748756065"/>
    <n v="4"/>
    <n v="2.4574121850502073"/>
    <n v="489.10693856449291"/>
  </r>
  <r>
    <s v="Chesapeake Energy"/>
    <x v="3"/>
    <x v="5"/>
    <n v="1129"/>
    <n v="31.3"/>
    <n v="17.600000000000001"/>
    <n v="237.06666666666666"/>
    <n v="1422.3999999999999"/>
    <n v="0"/>
    <n v="0"/>
    <n v="0"/>
    <n v="0"/>
    <n v="0"/>
    <n v="237.06666666666666"/>
    <n v="1422.3999999999999"/>
    <n v="1"/>
    <n v="0.79372890888638925"/>
    <n v="0.13203037120359956"/>
    <n v="7.4240719910011257E-2"/>
    <n v="332.6"/>
    <n v="165.2"/>
    <n v="3759"/>
    <n v="6745.8"/>
    <n v="-1936.5999999999995"/>
    <n v="1124.3"/>
    <n v="-322.76666666666665"/>
    <n v="-0.22304892656408365"/>
    <m/>
    <n v="-6080"/>
    <n v="3317"/>
    <n v="14"/>
    <n v="0"/>
    <n v="-2749"/>
    <n v="-67.5"/>
    <n v="374"/>
    <n v="4.2"/>
    <n v="0"/>
    <n v="310.7"/>
    <n v="-47.3"/>
    <n v="139.4"/>
    <n v="0.6"/>
    <n v="0"/>
    <n v="92.7"/>
    <n v="-328.60000000000014"/>
    <n v="-54.766666666666694"/>
    <n v="2981"/>
    <n v="332"/>
    <n v="2353"/>
    <n v="5725"/>
    <n v="11391"/>
    <n v="36012"/>
    <n v="1784.1666666666667"/>
    <n v="10705"/>
    <n v="20.18421298458664"/>
    <n v="3.3640354974311069"/>
    <s v="Costs &amp; Adds include oil; Sales excluded; Costs exclude asset retirement obligations"/>
    <n v="1769"/>
    <n v="535"/>
    <n v="0"/>
    <n v="272.71273140630075"/>
    <n v="44"/>
    <n v="0"/>
    <n v="22.428710620331277"/>
    <n v="0"/>
    <n v="188"/>
    <n v="188"/>
    <n v="802"/>
    <n v="0"/>
    <n v="408.81422539785643"/>
    <n v="6278"/>
    <n v="12316"/>
    <n v="0.50974342318934718"/>
    <n v="2660.9556674244886"/>
    <n v="11.224503658989688"/>
    <n v="1.8707506098316149"/>
    <m/>
    <n v="14051.955667424489"/>
    <n v="1405.195566742449"/>
    <n v="0.12336015861139926"/>
    <n v="5.9274278687111179"/>
    <n v="0.98790464478518647"/>
    <n v="48.049775028121488"/>
    <n v="8.0082958380202474"/>
    <n v="31.408716643576327"/>
    <n v="37.336144512287447"/>
    <n v="79.458491671697814"/>
    <n v="5.234786107262722"/>
    <n v="6.2226907520479084"/>
    <n v="13.24308194528297"/>
    <n v="4"/>
    <n v="3.1408716643576327"/>
    <n v="744.59597589704947"/>
  </r>
  <r>
    <s v="Chesapeake Energy"/>
    <x v="3"/>
    <x v="6"/>
    <n v="1095"/>
    <n v="41.1"/>
    <n v="20.9"/>
    <n v="244.5"/>
    <n v="1467"/>
    <n v="0"/>
    <n v="0"/>
    <n v="0"/>
    <n v="0"/>
    <n v="0"/>
    <n v="244.5"/>
    <n v="1467"/>
    <n v="1"/>
    <n v="0.74642126789366048"/>
    <n v="0.16809815950920245"/>
    <n v="8.5480572597137011E-2"/>
    <n v="222.5"/>
    <n v="121.9"/>
    <n v="3150"/>
    <n v="5216.3999999999996"/>
    <n v="-1529.4000000000005"/>
    <n v="869.4"/>
    <n v="-254.89999999999998"/>
    <n v="-0.22671884728275371"/>
    <m/>
    <n v="388"/>
    <n v="2160"/>
    <n v="5"/>
    <n v="0"/>
    <n v="2553"/>
    <n v="-61.1"/>
    <n v="96.3"/>
    <n v="0.6"/>
    <n v="0"/>
    <n v="35.799999999999997"/>
    <n v="-32.9"/>
    <n v="524"/>
    <n v="2"/>
    <n v="0"/>
    <n v="493.1"/>
    <n v="5726.4000000000005"/>
    <n v="954.40000000000009"/>
    <n v="997"/>
    <n v="22"/>
    <n v="699"/>
    <n v="4066"/>
    <n v="5784"/>
    <n v="28987"/>
    <n v="1843.5666666666668"/>
    <n v="11061.400000000001"/>
    <n v="15.72332616124541"/>
    <n v="2.6205543602075685"/>
    <s v="Costs &amp; Adds include oil; Sales excluded; Costs exclude asset retirement obligations"/>
    <n v="2733"/>
    <n v="457"/>
    <n v="0"/>
    <n v="206.608071278826"/>
    <n v="26"/>
    <n v="0"/>
    <n v="11.754507337526205"/>
    <n v="0"/>
    <n v="229"/>
    <n v="229"/>
    <n v="894"/>
    <n v="0"/>
    <n v="404.17421383647797"/>
    <n v="8626"/>
    <n v="19080"/>
    <n v="0.4520964360587002"/>
    <n v="3584.53679245283"/>
    <n v="14.660682177721187"/>
    <n v="2.4434470296201978"/>
    <m/>
    <n v="9368.5367924528291"/>
    <n v="936.85367924528293"/>
    <n v="0.1619733193715911"/>
    <n v="3.8317123895512593"/>
    <n v="0.63861873159187654"/>
    <n v="23.656441717791409"/>
    <n v="3.9427402862985685"/>
    <n v="30.384008338966595"/>
    <n v="34.215720728517852"/>
    <n v="54.040450056758004"/>
    <n v="5.0640013898277658"/>
    <n v="5.7026201214196419"/>
    <n v="9.0067416761263352"/>
    <n v="4"/>
    <n v="3.0384008338966595"/>
    <n v="742.88900388773322"/>
  </r>
  <r>
    <s v="Chesapeake Energy"/>
    <x v="3"/>
    <x v="7"/>
    <n v="1095"/>
    <n v="42.3"/>
    <n v="33.1"/>
    <n v="257.90000000000003"/>
    <n v="1547.4"/>
    <n v="0"/>
    <n v="0"/>
    <n v="0"/>
    <n v="0"/>
    <n v="0"/>
    <n v="257.90000000000003"/>
    <n v="1547.4"/>
    <n v="1"/>
    <n v="0.70763861962000774"/>
    <n v="0.1640170608763086"/>
    <n v="0.12834431950368358"/>
    <n v="191.5"/>
    <n v="67.8"/>
    <n v="2077"/>
    <n v="3632.8"/>
    <n v="-1583.5999999999995"/>
    <n v="605.4666666666667"/>
    <n v="-263.93333333333328"/>
    <n v="-0.30358101372594121"/>
    <m/>
    <n v="-129"/>
    <n v="1567"/>
    <n v="36"/>
    <n v="0"/>
    <n v="1474"/>
    <n v="-51.1"/>
    <n v="108.6"/>
    <n v="5.0999999999999996"/>
    <n v="0"/>
    <n v="62.599999999999994"/>
    <n v="21.3"/>
    <n v="78.2"/>
    <n v="2.6"/>
    <n v="0"/>
    <n v="102.1"/>
    <n v="2462.1999999999998"/>
    <n v="410.36666666666667"/>
    <n v="1224"/>
    <n v="214"/>
    <n v="421"/>
    <n v="3561"/>
    <n v="5420"/>
    <n v="22595"/>
    <n v="1310"/>
    <n v="7860"/>
    <n v="17.248091603053435"/>
    <n v="2.8746819338422394"/>
    <m/>
    <n v="3382"/>
    <n v="322"/>
    <n v="0"/>
    <n v="144.17245405405404"/>
    <n v="10"/>
    <n v="0"/>
    <n v="4.4774054054054053"/>
    <n v="0"/>
    <n v="232"/>
    <n v="232"/>
    <n v="768"/>
    <n v="0"/>
    <n v="343.86473513513511"/>
    <n v="10354"/>
    <n v="23125"/>
    <n v="0.44774054054054052"/>
    <n v="4106.5145945945942"/>
    <n v="15.922894899552515"/>
    <n v="2.6538158165920862"/>
    <m/>
    <n v="9526.5145945945951"/>
    <n v="952.6514594594596"/>
    <n v="0.17576595192978958"/>
    <n v="3.6938792534294667"/>
    <n v="0.61564654223824455"/>
    <n v="21.015897634742146"/>
    <n v="3.5026496057903578"/>
    <n v="33.170986502605949"/>
    <n v="36.864865756035414"/>
    <n v="54.186884137348095"/>
    <n v="5.528497750434326"/>
    <n v="6.1441442926725705"/>
    <n v="9.0311473562246842"/>
    <n v="4"/>
    <n v="3.3170986502605948"/>
    <n v="855.47974190220748"/>
  </r>
  <r>
    <s v="Chesapeake Energy"/>
    <x v="3"/>
    <x v="8"/>
    <n v="1070"/>
    <n v="41.6"/>
    <n v="28"/>
    <n v="247.93333333333334"/>
    <n v="1487.6"/>
    <n v="0"/>
    <n v="0"/>
    <n v="0"/>
    <n v="0"/>
    <n v="0"/>
    <n v="247.93333333333334"/>
    <n v="1487.6"/>
    <n v="1"/>
    <n v="0.71927937617639159"/>
    <n v="0.1677870395267545"/>
    <n v="0.11293358429685399"/>
    <n v="98.1"/>
    <n v="25.5"/>
    <n v="712"/>
    <n v="1453.6"/>
    <n v="-2179.2000000000003"/>
    <n v="242.26666666666665"/>
    <n v="-363.20000000000005"/>
    <n v="-0.59986787051310286"/>
    <m/>
    <n v="-4191"/>
    <n v="805"/>
    <n v="0"/>
    <n v="0"/>
    <n v="-3386"/>
    <n v="-110"/>
    <n v="61.1"/>
    <n v="0"/>
    <n v="0"/>
    <n v="-48.9"/>
    <n v="-75.8"/>
    <n v="35.299999999999997"/>
    <n v="0"/>
    <n v="0"/>
    <n v="-40.5"/>
    <n v="-3922.4"/>
    <n v="-653.73333333333335"/>
    <n v="454"/>
    <n v="0"/>
    <n v="112"/>
    <n v="2546"/>
    <n v="3112"/>
    <n v="14316"/>
    <n v="711.03333333333353"/>
    <n v="4266.2000000000007"/>
    <n v="20.134077164689881"/>
    <n v="3.3556795274483142"/>
    <m/>
    <n v="3165"/>
    <n v="235"/>
    <n v="0"/>
    <n v="99.254544030084617"/>
    <n v="44"/>
    <n v="0"/>
    <n v="18.583829520526482"/>
    <n v="0"/>
    <n v="99"/>
    <n v="99"/>
    <n v="694"/>
    <n v="0"/>
    <n v="293.11767471012223"/>
    <n v="5391"/>
    <n v="12764"/>
    <n v="0.42235976183014728"/>
    <n v="3674.9560482607335"/>
    <n v="14.822355666553106"/>
    <n v="2.4703926110921843"/>
    <m/>
    <n v="6786.956048260734"/>
    <n v="678.69560482607346"/>
    <n v="0.21808984730914957"/>
    <n v="2.7374116892689169"/>
    <n v="0.45623528154481952"/>
    <n v="12.551761226136058"/>
    <n v="2.0919602043560097"/>
    <n v="34.956432831242985"/>
    <n v="37.693844520511902"/>
    <n v="47.508194057379043"/>
    <n v="5.8260721385404981"/>
    <n v="6.282307420085318"/>
    <n v="7.9180323428965078"/>
    <n v="4"/>
    <n v="3.4956432831242985"/>
    <n v="866.68649132928442"/>
  </r>
  <r>
    <s v="Chesapeake Energy"/>
    <x v="3"/>
    <x v="9"/>
    <n v="1050"/>
    <n v="33.200000000000003"/>
    <n v="28.1"/>
    <n v="236.29999999999998"/>
    <n v="1417.8000000000002"/>
    <n v="0"/>
    <n v="0"/>
    <n v="0"/>
    <n v="0"/>
    <n v="0"/>
    <n v="236.29999999999998"/>
    <n v="1417.8000000000002"/>
    <n v="1"/>
    <n v="0.74058400338552677"/>
    <n v="0.1404993652137114"/>
    <n v="0.11891663140076175"/>
    <n v="198.7"/>
    <n v="92.2"/>
    <n v="1370"/>
    <n v="3115.3999999999996"/>
    <n v="1661.7999999999997"/>
    <n v="519.23333333333335"/>
    <n v="276.9666666666667"/>
    <n v="1.1432305998899286"/>
    <m/>
    <n v="598"/>
    <n v="1798"/>
    <n v="299"/>
    <n v="0"/>
    <n v="2695"/>
    <n v="-58.9"/>
    <n v="191.2"/>
    <n v="1"/>
    <n v="0"/>
    <n v="133.29999999999998"/>
    <n v="2.8"/>
    <n v="89"/>
    <n v="3.6"/>
    <n v="0"/>
    <n v="95.399999999999991"/>
    <n v="4067.2000000000003"/>
    <n v="677.86666666666667"/>
    <n v="403"/>
    <n v="403"/>
    <n v="52"/>
    <n v="1127"/>
    <n v="1985"/>
    <n v="10517"/>
    <n v="434.5"/>
    <n v="2607"/>
    <n v="24.204833141542004"/>
    <n v="4.0341388569236667"/>
    <m/>
    <n v="2565"/>
    <n v="240"/>
    <n v="0"/>
    <n v="100.24390243902438"/>
    <n v="-27"/>
    <n v="0"/>
    <n v="-11.277439024390244"/>
    <n v="0"/>
    <n v="74"/>
    <n v="74"/>
    <n v="669"/>
    <n v="0"/>
    <n v="279.42987804878049"/>
    <n v="3288"/>
    <n v="7872"/>
    <n v="0.41768292682926828"/>
    <n v="3007.3963414634145"/>
    <n v="12.727026413302644"/>
    <n v="2.1211710688837737"/>
    <m/>
    <n v="4992.3963414634145"/>
    <n v="499.23963414634147"/>
    <n v="0.25150611292007125"/>
    <n v="2.1127364965989908"/>
    <n v="0.35212274943316507"/>
    <n v="8.4003385526872627"/>
    <n v="1.4000564254478769"/>
    <n v="36.93185955484465"/>
    <n v="39.044596051443641"/>
    <n v="45.332198107531909"/>
    <n v="6.1553099258074404"/>
    <n v="6.5074326752406053"/>
    <n v="7.5553663512553175"/>
    <n v="4"/>
    <n v="3.693185955484465"/>
    <n v="872.69984128097906"/>
  </r>
  <r>
    <s v="Concho"/>
    <x v="4"/>
    <x v="0"/>
    <n v="12.064"/>
    <n v="3.0139999999999998"/>
    <n v="0"/>
    <n v="5.0246666666666666"/>
    <n v="30.148"/>
    <n v="0"/>
    <n v="0"/>
    <n v="0"/>
    <n v="0"/>
    <n v="0"/>
    <n v="5.0246666666666666"/>
    <n v="30.148"/>
    <n v="1"/>
    <n v="0.40015921454159481"/>
    <n v="0.59984078545840513"/>
    <n v="0"/>
    <n v="25.744"/>
    <n v="0"/>
    <n v="96.965000000000003"/>
    <n v="251.429"/>
    <m/>
    <n v="41.904833333333329"/>
    <m/>
    <m/>
    <m/>
    <n v="-12.022"/>
    <n v="48.750999999999998"/>
    <n v="0.35399999999999998"/>
    <n v="0"/>
    <n v="37.082999999999998"/>
    <n v="-1.1910000000000001"/>
    <n v="13.14"/>
    <n v="0.105"/>
    <n v="0"/>
    <n v="12.054"/>
    <n v="0"/>
    <n v="0"/>
    <n v="0"/>
    <n v="0"/>
    <n v="0"/>
    <n v="109.407"/>
    <n v="18.234500000000001"/>
    <n v="7.2930000000000001"/>
    <n v="0"/>
    <n v="116.01900000000001"/>
    <n v="64.209000000000003"/>
    <n v="187.52100000000002"/>
    <m/>
    <m/>
    <m/>
    <m/>
    <m/>
    <m/>
    <m/>
    <m/>
    <m/>
    <m/>
    <m/>
    <m/>
    <m/>
    <m/>
    <m/>
    <m/>
    <m/>
    <m/>
    <m/>
    <n v="0"/>
    <n v="0"/>
    <m/>
    <m/>
    <m/>
    <m/>
    <m/>
    <m/>
    <m/>
    <m/>
    <m/>
    <m/>
    <m/>
    <m/>
    <m/>
    <m/>
    <m/>
    <m/>
    <m/>
    <m/>
    <m/>
    <m/>
    <m/>
  </r>
  <r>
    <s v="Concho"/>
    <x v="4"/>
    <x v="1"/>
    <n v="14.968"/>
    <n v="4.5860000000000003"/>
    <n v="0"/>
    <n v="7.0806666666666676"/>
    <n v="42.484000000000002"/>
    <n v="0"/>
    <n v="0"/>
    <n v="0"/>
    <n v="0"/>
    <n v="0"/>
    <n v="7.0806666666666676"/>
    <n v="42.484000000000002"/>
    <n v="1"/>
    <n v="0.35232087374070237"/>
    <n v="0.64767912625929758"/>
    <n v="0"/>
    <n v="39.624000000000002"/>
    <n v="0"/>
    <n v="126.824"/>
    <n v="364.56800000000004"/>
    <n v="113.13900000000004"/>
    <n v="60.76133333333334"/>
    <n v="18.856500000000011"/>
    <n v="0.44998389207291156"/>
    <m/>
    <n v="-34.323"/>
    <n v="73.38"/>
    <n v="56.021999999999998"/>
    <n v="0"/>
    <n v="95.078999999999994"/>
    <n v="-7.5209999999999999"/>
    <n v="24.193999999999999"/>
    <n v="20.837"/>
    <n v="0"/>
    <n v="37.51"/>
    <n v="0"/>
    <n v="0"/>
    <n v="0"/>
    <n v="0"/>
    <n v="0"/>
    <n v="320.13900000000001"/>
    <n v="53.356499999999997"/>
    <n v="240.29400000000001"/>
    <n v="590.65099999999995"/>
    <n v="159.61100000000002"/>
    <n v="179.965"/>
    <n v="1170.521"/>
    <m/>
    <m/>
    <m/>
    <m/>
    <m/>
    <m/>
    <m/>
    <m/>
    <m/>
    <m/>
    <m/>
    <m/>
    <m/>
    <m/>
    <m/>
    <m/>
    <m/>
    <m/>
    <m/>
    <n v="0"/>
    <n v="0"/>
    <m/>
    <m/>
    <m/>
    <m/>
    <m/>
    <m/>
    <m/>
    <m/>
    <m/>
    <m/>
    <m/>
    <m/>
    <m/>
    <m/>
    <m/>
    <m/>
    <m/>
    <m/>
    <m/>
    <m/>
    <m/>
  </r>
  <r>
    <s v="Concho"/>
    <x v="4"/>
    <x v="2"/>
    <n v="21.568000000000001"/>
    <n v="7.3360000000000003"/>
    <n v="0"/>
    <n v="10.930666666666667"/>
    <n v="65.584000000000003"/>
    <n v="0"/>
    <n v="0"/>
    <n v="0"/>
    <n v="0"/>
    <n v="0"/>
    <n v="10.930666666666667"/>
    <n v="65.584000000000003"/>
    <n v="1"/>
    <n v="0.32886069773115395"/>
    <n v="0.67113930226884611"/>
    <n v="0"/>
    <n v="75.44"/>
    <n v="0"/>
    <n v="194.13499999999999"/>
    <n v="646.77499999999998"/>
    <n v="282.20699999999994"/>
    <n v="107.79583333333332"/>
    <n v="47.03449999999998"/>
    <n v="0.77408604156151894"/>
    <m/>
    <n v="-14.4"/>
    <n v="109.15"/>
    <n v="38.095999999999997"/>
    <n v="0"/>
    <n v="132.846"/>
    <n v="1.421"/>
    <n v="47.75"/>
    <n v="13.916"/>
    <n v="0"/>
    <n v="63.087000000000003"/>
    <n v="0"/>
    <n v="0"/>
    <n v="0"/>
    <n v="0"/>
    <n v="0"/>
    <n v="511.36800000000005"/>
    <n v="85.228000000000009"/>
    <n v="74.691999999999993"/>
    <n v="205.32900000000001"/>
    <n v="133.65299999999999"/>
    <n v="260.30599999999998"/>
    <n v="673.98"/>
    <n v="2032.0219999999999"/>
    <n v="156.81900000000002"/>
    <n v="940.91399999999999"/>
    <n v="12.957753843603133"/>
    <n v="2.1596256406005225"/>
    <m/>
    <n v="56.048000000000002"/>
    <m/>
    <n v="53.162999999999997"/>
    <n v="53.162999999999997"/>
    <m/>
    <n v="7.2990000000000004"/>
    <n v="7.2990000000000004"/>
    <m/>
    <n v="41.619"/>
    <n v="41.619"/>
    <m/>
    <n v="14.862"/>
    <n v="14.862"/>
    <n v="510.767"/>
    <n v="510.767"/>
    <n v="1"/>
    <n v="172.99099999999999"/>
    <n v="15.826207611612586"/>
    <n v="2.6377012686020977"/>
    <m/>
    <n v="846.971"/>
    <n v="84.697100000000006"/>
    <n v="0.12566708210926142"/>
    <n v="7.7485758721639426"/>
    <n v="1.2914293120273237"/>
    <n v="61.659551110026833"/>
    <n v="10.276591851671139"/>
    <n v="28.783961455215717"/>
    <n v="36.532537327379657"/>
    <n v="90.443512565242543"/>
    <n v="4.7973269092026207"/>
    <n v="6.0887562212299446"/>
    <n v="15.073918760873759"/>
    <n v="4"/>
    <n v="2.8783961455215716"/>
    <n v="31.46278880131446"/>
  </r>
  <r>
    <s v="Concho"/>
    <x v="4"/>
    <x v="3"/>
    <n v="31.405000000000001"/>
    <n v="10.33"/>
    <n v="0"/>
    <n v="15.564166666666667"/>
    <n v="93.385000000000005"/>
    <n v="0"/>
    <n v="0"/>
    <n v="0"/>
    <n v="0"/>
    <n v="0"/>
    <n v="15.564166666666667"/>
    <n v="93.385000000000005"/>
    <n v="1"/>
    <n v="0.33629597901161856"/>
    <n v="0.66370402098838144"/>
    <n v="0"/>
    <n v="95.983999999999995"/>
    <n v="0"/>
    <n v="257.68299999999999"/>
    <n v="833.58699999999999"/>
    <n v="186.81200000000001"/>
    <n v="138.93116666666666"/>
    <n v="31.135333333333335"/>
    <n v="0.28883614858335593"/>
    <m/>
    <n v="5.7249999999999996"/>
    <n v="110.923"/>
    <n v="188.422"/>
    <n v="0"/>
    <n v="305.07"/>
    <n v="-1.8420000000000001"/>
    <n v="41.151000000000003"/>
    <n v="43.363999999999997"/>
    <n v="0"/>
    <n v="82.673000000000002"/>
    <n v="0"/>
    <n v="0"/>
    <n v="0"/>
    <n v="0"/>
    <n v="0"/>
    <n v="801.10799999999995"/>
    <n v="133.518"/>
    <n v="475.68799999999999"/>
    <n v="1216.088"/>
    <n v="200.01300000000001"/>
    <n v="479.01100000000002"/>
    <n v="2370.7999999999997"/>
    <n v="4215.3009999999995"/>
    <n v="272.10249999999996"/>
    <n v="1632.615"/>
    <n v="15.491592322746024"/>
    <n v="2.5819320537910038"/>
    <m/>
    <n v="86.533999999999992"/>
    <m/>
    <n v="94.275000000000006"/>
    <n v="94.275000000000006"/>
    <m/>
    <n v="19.885000000000002"/>
    <n v="19.885000000000002"/>
    <m/>
    <n v="79.875"/>
    <n v="79.875"/>
    <m/>
    <n v="48.052"/>
    <n v="48.052"/>
    <n v="940.26700000000005"/>
    <n v="940.26700000000005"/>
    <n v="1"/>
    <n v="328.62099999999998"/>
    <n v="21.113947636129996"/>
    <n v="3.518991272688333"/>
    <m/>
    <n v="2699.4209999999998"/>
    <n v="269.94209999999998"/>
    <n v="0.11386118609751983"/>
    <n v="17.343819671253414"/>
    <n v="2.8906366118755686"/>
    <n v="152.3242490764041"/>
    <n v="25.387374846067353"/>
    <n v="36.605539958876022"/>
    <n v="53.949359630129436"/>
    <n v="188.92978903528012"/>
    <n v="6.1009233264793368"/>
    <n v="8.9915599383549054"/>
    <n v="31.488298172546688"/>
    <n v="4"/>
    <n v="3.6605539958876023"/>
    <n v="56.973472484327289"/>
  </r>
  <r>
    <s v="Concho"/>
    <x v="4"/>
    <x v="4"/>
    <n v="53.713999999999999"/>
    <n v="14.692"/>
    <n v="0"/>
    <n v="23.644333333333336"/>
    <n v="141.86599999999999"/>
    <n v="0"/>
    <n v="0"/>
    <n v="0"/>
    <n v="0"/>
    <n v="0"/>
    <n v="23.644333333333336"/>
    <n v="141.86599999999999"/>
    <n v="1"/>
    <n v="0.37862489955309941"/>
    <n v="0.62137510044690059"/>
    <n v="0"/>
    <n v="94.384"/>
    <n v="0"/>
    <n v="337.24900000000002"/>
    <n v="903.553"/>
    <n v="69.966000000000008"/>
    <n v="150.59216666666669"/>
    <n v="11.66100000000003"/>
    <n v="8.3933650596758572E-2"/>
    <m/>
    <n v="35.966999999999999"/>
    <n v="209.827"/>
    <n v="35.691000000000003"/>
    <n v="0"/>
    <n v="281.48500000000001"/>
    <n v="-9.9920000000000009"/>
    <n v="51.517000000000003"/>
    <n v="6.6310000000000002"/>
    <n v="0"/>
    <n v="48.156000000000006"/>
    <n v="0"/>
    <n v="0"/>
    <n v="0"/>
    <n v="0"/>
    <n v="0"/>
    <n v="570.42100000000005"/>
    <n v="95.070166666666665"/>
    <n v="361.32100000000003"/>
    <n v="163.65799999999999"/>
    <n v="560.495"/>
    <n v="732.65700000000004"/>
    <n v="1818.1310000000003"/>
    <n v="4862.9110000000001"/>
    <n v="313.81616666666667"/>
    <n v="1882.8970000000002"/>
    <n v="15.496049969807164"/>
    <n v="2.5826749949678605"/>
    <m/>
    <n v="146.88799999999998"/>
    <m/>
    <n v="98.525000000000006"/>
    <n v="98.525000000000006"/>
    <m/>
    <n v="22.768000000000001"/>
    <n v="22.768000000000001"/>
    <m/>
    <n v="131.041"/>
    <n v="131.041"/>
    <m/>
    <n v="77.921000000000006"/>
    <n v="77.921000000000006"/>
    <n v="1617.771"/>
    <n v="1617.771"/>
    <n v="1"/>
    <n v="477.14299999999997"/>
    <n v="20.180014943679243"/>
    <n v="3.3633358239465414"/>
    <m/>
    <n v="2295.2740000000003"/>
    <n v="229.52740000000006"/>
    <n v="0.12624359850857833"/>
    <n v="9.7075014450255885"/>
    <n v="1.6179169075042652"/>
    <n v="76.894999506576639"/>
    <n v="12.815833251096109"/>
    <n v="35.676064913486407"/>
    <n v="45.383566358511999"/>
    <n v="112.57106442006304"/>
    <n v="5.9460108189144023"/>
    <n v="7.5639277264186671"/>
    <n v="18.761844070010511"/>
    <n v="4"/>
    <n v="3.5676064913486405"/>
    <n v="84.353677083611046"/>
  </r>
  <r>
    <s v="Concho"/>
    <x v="4"/>
    <x v="5"/>
    <n v="70.590999999999994"/>
    <n v="18.003"/>
    <n v="0"/>
    <n v="29.768166666666666"/>
    <n v="178.60899999999998"/>
    <n v="0"/>
    <n v="0"/>
    <n v="0"/>
    <n v="0"/>
    <n v="0"/>
    <n v="29.768166666666666"/>
    <n v="178.60899999999998"/>
    <n v="1"/>
    <n v="0.39522644435610749"/>
    <n v="0.60477355564389257"/>
    <n v="0"/>
    <n v="112.572"/>
    <n v="0"/>
    <n v="376.66"/>
    <n v="1052.0920000000001"/>
    <n v="148.5390000000001"/>
    <n v="175.34866666666667"/>
    <n v="24.756499999999988"/>
    <n v="0.16439434100711292"/>
    <m/>
    <n v="-40.49"/>
    <n v="189.37100000000001"/>
    <n v="157.26400000000001"/>
    <n v="0"/>
    <n v="306.14499999999998"/>
    <n v="-15.945"/>
    <n v="60.357999999999997"/>
    <n v="30.268999999999998"/>
    <n v="0"/>
    <n v="74.681999999999988"/>
    <n v="0"/>
    <n v="0"/>
    <n v="0"/>
    <n v="0"/>
    <n v="0"/>
    <n v="754.23699999999985"/>
    <n v="125.70616666666666"/>
    <n v="441.04199999999997"/>
    <n v="857.83600000000001"/>
    <n v="778.56299999999999"/>
    <n v="725.67000000000007"/>
    <n v="2803.1109999999999"/>
    <n v="6992.0420000000004"/>
    <n v="354.29433333333333"/>
    <n v="2125.7659999999996"/>
    <n v="19.735122304148248"/>
    <n v="3.2891870506913752"/>
    <m/>
    <n v="192.94200000000001"/>
    <m/>
    <n v="133.79599999999999"/>
    <n v="133.79599999999999"/>
    <m/>
    <n v="19.673999999999999"/>
    <n v="19.673999999999999"/>
    <m/>
    <n v="150.80099999999999"/>
    <n v="150.80099999999999"/>
    <m/>
    <n v="158.715"/>
    <n v="158.715"/>
    <n v="1819.8140000000001"/>
    <n v="1819.8140000000001"/>
    <n v="1"/>
    <n v="655.92799999999988"/>
    <n v="22.034544731788429"/>
    <n v="3.6724241219647382"/>
    <m/>
    <n v="3459.0389999999998"/>
    <n v="345.90390000000002"/>
    <n v="0.12340000092754087"/>
    <n v="11.619926207525937"/>
    <n v="1.9366543679209898"/>
    <n v="94.164717343470926"/>
    <n v="15.694119557245157"/>
    <n v="41.769667035936678"/>
    <n v="53.389593243462613"/>
    <n v="135.93438437940762"/>
    <n v="6.961611172656113"/>
    <n v="8.8982655405771034"/>
    <n v="22.655730729901272"/>
    <n v="4"/>
    <n v="4.176966703593668"/>
    <n v="124.34064099369357"/>
  </r>
  <r>
    <s v="Concho"/>
    <x v="4"/>
    <x v="6"/>
    <n v="75.054000000000002"/>
    <n v="21.126000000000001"/>
    <n v="0"/>
    <n v="33.635000000000005"/>
    <n v="201.81"/>
    <n v="0"/>
    <n v="0"/>
    <n v="0"/>
    <n v="0"/>
    <n v="0"/>
    <n v="33.635000000000005"/>
    <n v="201.81"/>
    <n v="1"/>
    <n v="0.37190426638917795"/>
    <n v="0.62809573361082205"/>
    <n v="0"/>
    <n v="127.86199999999999"/>
    <n v="0"/>
    <n v="430.82299999999998"/>
    <n v="1197.9949999999999"/>
    <n v="145.90299999999979"/>
    <n v="199.66583333333332"/>
    <n v="24.317166666666651"/>
    <n v="0.13867893682301538"/>
    <m/>
    <n v="2.3130000000000002"/>
    <n v="199.886"/>
    <n v="4.016"/>
    <n v="0"/>
    <n v="206.21499999999997"/>
    <n v="-17.914000000000001"/>
    <n v="72.025000000000006"/>
    <n v="0.88900000000000001"/>
    <n v="0"/>
    <n v="55.000000000000007"/>
    <n v="0"/>
    <n v="0"/>
    <n v="0"/>
    <n v="0"/>
    <n v="0"/>
    <n v="536.21500000000003"/>
    <n v="89.369166666666672"/>
    <n v="85.537999999999997"/>
    <n v="11.499000000000001"/>
    <n v="1027.1209999999999"/>
    <n v="728.96299999999997"/>
    <n v="1853.1209999999999"/>
    <n v="6474.3630000000003"/>
    <n v="310.14549999999997"/>
    <n v="1860.873"/>
    <n v="20.875244038685072"/>
    <n v="3.479207339780845"/>
    <m/>
    <n v="263.87199999999996"/>
    <m/>
    <n v="169.815"/>
    <n v="169.815"/>
    <m/>
    <n v="21.376000000000001"/>
    <n v="21.376000000000001"/>
    <m/>
    <n v="191.56400000000002"/>
    <n v="191.56400000000002"/>
    <m/>
    <n v="200.96100000000001"/>
    <n v="200.96100000000001"/>
    <n v="2319.9189999999999"/>
    <n v="2319.9189999999999"/>
    <n v="1"/>
    <n v="847.58799999999997"/>
    <n v="25.199583766909463"/>
    <n v="4.1999306278182447"/>
    <m/>
    <n v="2700.7089999999998"/>
    <n v="270.07089999999999"/>
    <n v="0.14573840564107796"/>
    <n v="8.0294603835290612"/>
    <n v="1.3382433972548435"/>
    <n v="55.095020068381139"/>
    <n v="9.1825033447301916"/>
    <n v="46.074827805594538"/>
    <n v="54.104288189123601"/>
    <n v="101.16984787397567"/>
    <n v="7.6791379675990896"/>
    <n v="9.0173813648539323"/>
    <n v="16.861641312329283"/>
    <n v="4"/>
    <n v="4.6074827805594536"/>
    <n v="154.97268332411724"/>
  </r>
  <r>
    <s v="Concho"/>
    <x v="4"/>
    <x v="7"/>
    <n v="87.335999999999999"/>
    <n v="26.318999999999999"/>
    <n v="0"/>
    <n v="40.875"/>
    <n v="245.25"/>
    <n v="0"/>
    <n v="0"/>
    <n v="0"/>
    <n v="0"/>
    <n v="0"/>
    <n v="40.875"/>
    <n v="245.25"/>
    <n v="1"/>
    <n v="0.35611009174311925"/>
    <n v="0.64388990825688075"/>
    <n v="0"/>
    <n v="158.90100000000001"/>
    <n v="0"/>
    <n v="608.44799999999998"/>
    <n v="1561.854"/>
    <n v="363.85900000000015"/>
    <n v="260.30900000000003"/>
    <n v="60.643166666666701"/>
    <n v="0.3037233043543589"/>
    <m/>
    <n v="95.811999999999998"/>
    <n v="400.32900000000001"/>
    <n v="18.97"/>
    <n v="0"/>
    <n v="515.11099999999999"/>
    <n v="-28.648"/>
    <n v="115.389"/>
    <n v="2.5430000000000001"/>
    <n v="0"/>
    <n v="89.284000000000006"/>
    <n v="0"/>
    <n v="0"/>
    <n v="0"/>
    <n v="0"/>
    <n v="0"/>
    <n v="1050.8150000000001"/>
    <n v="175.13583333333332"/>
    <n v="292.363"/>
    <n v="99.361999999999995"/>
    <n v="1612.6490000000001"/>
    <n v="930.00299999999993"/>
    <n v="2934.3770000000004"/>
    <n v="7590.6090000000004"/>
    <n v="390.21116666666666"/>
    <n v="2341.2669999999998"/>
    <n v="19.452567349217325"/>
    <n v="3.2420945582028882"/>
    <m/>
    <n v="329.25099999999998"/>
    <m/>
    <n v="204.161"/>
    <n v="204.161"/>
    <m/>
    <n v="27.844000000000001"/>
    <n v="27.844000000000001"/>
    <m/>
    <n v="209.12300000000002"/>
    <n v="209.12300000000002"/>
    <m/>
    <n v="211.34200000000001"/>
    <n v="211.34200000000001"/>
    <n v="2660.1469999999999"/>
    <n v="2660.1469999999999"/>
    <n v="1"/>
    <n v="981.721"/>
    <n v="24.017639143730886"/>
    <n v="4.0029398572884816"/>
    <m/>
    <n v="3916.0980000000004"/>
    <n v="391.60980000000006"/>
    <n v="0.13345585792146"/>
    <n v="9.5806678899082591"/>
    <n v="1.5967779816513763"/>
    <n v="71.789039755351695"/>
    <n v="11.964839959225282"/>
    <n v="43.470206492948208"/>
    <n v="53.050874382856463"/>
    <n v="115.2592462482999"/>
    <n v="7.2450344154913697"/>
    <n v="8.8418123971427462"/>
    <n v="19.209874374716652"/>
    <n v="4"/>
    <n v="4.3470206492948211"/>
    <n v="177.6844690399258"/>
  </r>
  <r>
    <s v="Concho"/>
    <x v="4"/>
    <x v="8"/>
    <n v="106.98699999999999"/>
    <n v="34.457000000000001"/>
    <n v="0"/>
    <n v="52.288166666666669"/>
    <n v="313.72900000000004"/>
    <n v="0"/>
    <n v="0"/>
    <n v="0"/>
    <n v="0"/>
    <n v="0"/>
    <n v="52.288166666666669"/>
    <n v="313.72900000000004"/>
    <n v="1"/>
    <n v="0.34101724736954497"/>
    <n v="0.65898275263045492"/>
    <n v="0"/>
    <n v="163.904"/>
    <n v="0"/>
    <n v="607.43399999999997"/>
    <n v="1590.8579999999999"/>
    <n v="29.003999999999905"/>
    <n v="265.14299999999997"/>
    <n v="4.8339999999999463"/>
    <n v="1.8570237679065824E-2"/>
    <m/>
    <n v="-344.26799999999997"/>
    <n v="359.161"/>
    <n v="27.722000000000001"/>
    <n v="0"/>
    <n v="42.61500000000003"/>
    <n v="-71.453000000000003"/>
    <n v="97.207999999999998"/>
    <n v="7.0830000000000002"/>
    <n v="0"/>
    <n v="32.837999999999994"/>
    <n v="0"/>
    <n v="0"/>
    <n v="0"/>
    <n v="0"/>
    <n v="0"/>
    <n v="239.643"/>
    <n v="39.9405"/>
    <n v="206.214"/>
    <n v="57.19"/>
    <n v="1120.7670000000001"/>
    <n v="718.17199999999991"/>
    <n v="2102.3429999999998"/>
    <n v="6889.8410000000003"/>
    <n v="304.44549999999998"/>
    <n v="1826.6730000000002"/>
    <n v="22.630786134135668"/>
    <n v="3.7717976890226108"/>
    <m/>
    <n v="389.70400000000006"/>
    <m/>
    <n v="230.73400000000001"/>
    <n v="230.73400000000001"/>
    <m/>
    <n v="3.95"/>
    <n v="3.95"/>
    <m/>
    <n v="151.655"/>
    <n v="151.655"/>
    <m/>
    <n v="211.44300000000001"/>
    <n v="211.44300000000001"/>
    <n v="1803.5730000000001"/>
    <n v="1803.5730000000001"/>
    <n v="1"/>
    <n v="987.4860000000001"/>
    <n v="18.885458468933379"/>
    <n v="3.1475764114888962"/>
    <m/>
    <n v="3089.8289999999997"/>
    <n v="308.98289999999997"/>
    <n v="0.14697073693493401"/>
    <n v="5.9092318529686443"/>
    <n v="0.9848719754947739"/>
    <n v="40.206860060753066"/>
    <n v="6.7011433434588437"/>
    <n v="41.516244603069048"/>
    <n v="47.425476456037693"/>
    <n v="81.723104663822113"/>
    <n v="6.919374100511507"/>
    <n v="7.9042460760062809"/>
    <n v="13.62051744397035"/>
    <n v="4"/>
    <n v="4.1516244603069046"/>
    <n v="217.08083171793749"/>
  </r>
  <r>
    <s v="Concho"/>
    <x v="4"/>
    <x v="9"/>
    <n v="127.48099999999999"/>
    <n v="33.840000000000003"/>
    <n v="0"/>
    <n v="55.086833333333331"/>
    <n v="330.52100000000002"/>
    <n v="0"/>
    <n v="0"/>
    <n v="0"/>
    <n v="0"/>
    <n v="0"/>
    <n v="55.086833333333331"/>
    <n v="330.52100000000002"/>
    <n v="1"/>
    <n v="0.38569712665761025"/>
    <n v="0.61430287334238987"/>
    <n v="0"/>
    <n v="160.83199999999999"/>
    <n v="0"/>
    <n v="561.26199999999994"/>
    <n v="1526.2539999999999"/>
    <n v="-64.604000000000042"/>
    <n v="254.37566666666663"/>
    <n v="-10.76733333333334"/>
    <n v="-4.0609532717565018E-2"/>
    <m/>
    <n v="4.3760000000000003"/>
    <n v="156.928"/>
    <n v="108.48399999999999"/>
    <n v="0"/>
    <n v="269.78800000000001"/>
    <n v="-24.721"/>
    <n v="83.617000000000004"/>
    <n v="40.991999999999997"/>
    <n v="0"/>
    <n v="99.888000000000005"/>
    <n v="0"/>
    <n v="0"/>
    <n v="0"/>
    <n v="0"/>
    <n v="0"/>
    <n v="869.11599999999999"/>
    <n v="144.85266666666666"/>
    <n v="1154.423"/>
    <n v="981.85500000000002"/>
    <n v="700.23299999999995"/>
    <n v="447.363"/>
    <n v="3283.8740000000003"/>
    <n v="8320.594000000001"/>
    <n v="359.92899999999997"/>
    <n v="2159.5740000000001"/>
    <n v="23.117320360404417"/>
    <n v="3.8528867267340692"/>
    <m/>
    <n v="319.85399999999993"/>
    <m/>
    <n v="225.565"/>
    <n v="225.565"/>
    <m/>
    <n v="0"/>
    <n v="0"/>
    <m/>
    <n v="131.45000000000002"/>
    <n v="131.45000000000002"/>
    <m/>
    <n v="232.173"/>
    <n v="232.173"/>
    <n v="1634.9880000000001"/>
    <n v="1634.9880000000001"/>
    <n v="1"/>
    <n v="909.04200000000003"/>
    <n v="16.501983232532883"/>
    <n v="2.7503305387554802"/>
    <m/>
    <n v="4192.9160000000002"/>
    <n v="419.29160000000002"/>
    <n v="0.12768199997929275"/>
    <n v="7.6114667449269495"/>
    <n v="1.2685777908211582"/>
    <n v="59.612684216736611"/>
    <n v="9.9354473694561012"/>
    <n v="39.6193035929373"/>
    <n v="47.23077033786425"/>
    <n v="99.23198780967391"/>
    <n v="6.6032172654895493"/>
    <n v="7.8717950563107077"/>
    <n v="16.538664634945651"/>
    <n v="5"/>
    <n v="3.9619303592937301"/>
    <n v="218.25019738068715"/>
  </r>
  <r>
    <s v="Conoco Phillips"/>
    <x v="5"/>
    <x v="0"/>
    <n v="948"/>
    <n v="166"/>
    <n v="0"/>
    <n v="324"/>
    <n v="1944"/>
    <n v="1059"/>
    <n v="168"/>
    <n v="0"/>
    <n v="344.5"/>
    <n v="2067"/>
    <n v="668.5"/>
    <n v="4011"/>
    <n v="0.48466716529543757"/>
    <n v="0.48765432098765432"/>
    <n v="0.51234567901234573"/>
    <n v="0"/>
    <n v="247"/>
    <n v="0"/>
    <n v="1873"/>
    <n v="3355"/>
    <m/>
    <n v="559.16666666666674"/>
    <m/>
    <m/>
    <m/>
    <n v="566"/>
    <n v="544"/>
    <n v="30"/>
    <n v="6"/>
    <n v="1146"/>
    <n v="75"/>
    <n v="53"/>
    <n v="0"/>
    <n v="41"/>
    <n v="169"/>
    <n v="0"/>
    <n v="0"/>
    <n v="0"/>
    <n v="0"/>
    <n v="0"/>
    <n v="2160"/>
    <n v="360"/>
    <n v="207"/>
    <n v="42"/>
    <n v="583"/>
    <n v="2942"/>
    <n v="3774"/>
    <m/>
    <m/>
    <m/>
    <m/>
    <m/>
    <m/>
    <m/>
    <m/>
    <m/>
    <m/>
    <m/>
    <m/>
    <m/>
    <m/>
    <m/>
    <m/>
    <m/>
    <m/>
    <m/>
    <n v="0"/>
    <n v="0"/>
    <m/>
    <m/>
    <m/>
    <m/>
    <m/>
    <m/>
    <m/>
    <m/>
    <m/>
    <m/>
    <m/>
    <m/>
    <m/>
    <m/>
    <m/>
    <m/>
    <m/>
    <m/>
    <n v="4"/>
    <m/>
    <m/>
  </r>
  <r>
    <s v="Conoco Phillips"/>
    <x v="5"/>
    <x v="1"/>
    <n v="869"/>
    <n v="157"/>
    <n v="0"/>
    <n v="301.83333333333337"/>
    <n v="1811"/>
    <n v="1108"/>
    <n v="173"/>
    <n v="0"/>
    <n v="357.66666666666663"/>
    <n v="2146"/>
    <n v="659.5"/>
    <n v="3957"/>
    <n v="0.45766995198382615"/>
    <n v="0.47984538928768639"/>
    <n v="0.52015461071231361"/>
    <n v="0"/>
    <n v="252"/>
    <n v="0"/>
    <n v="1632"/>
    <n v="3144"/>
    <n v="-211"/>
    <n v="524"/>
    <n v="-35.166666666666742"/>
    <n v="-6.2891207153502368E-2"/>
    <m/>
    <n v="-1122"/>
    <n v="275"/>
    <n v="13"/>
    <n v="17"/>
    <n v="-817"/>
    <n v="-223"/>
    <n v="38"/>
    <n v="0"/>
    <n v="28"/>
    <n v="-157"/>
    <n v="0"/>
    <n v="0"/>
    <n v="0"/>
    <n v="0"/>
    <n v="0"/>
    <n v="-1759"/>
    <n v="-293.16666666666663"/>
    <n v="1019"/>
    <n v="37"/>
    <n v="857"/>
    <n v="3281"/>
    <n v="5194"/>
    <m/>
    <m/>
    <m/>
    <m/>
    <m/>
    <m/>
    <m/>
    <m/>
    <m/>
    <m/>
    <m/>
    <m/>
    <m/>
    <m/>
    <m/>
    <m/>
    <m/>
    <m/>
    <m/>
    <n v="0"/>
    <n v="0"/>
    <m/>
    <m/>
    <m/>
    <m/>
    <m/>
    <m/>
    <m/>
    <m/>
    <m/>
    <m/>
    <m/>
    <m/>
    <m/>
    <m/>
    <m/>
    <m/>
    <m/>
    <m/>
    <n v="4"/>
    <m/>
    <m/>
  </r>
  <r>
    <s v="Conoco Phillips"/>
    <x v="5"/>
    <x v="2"/>
    <n v="850"/>
    <n v="153"/>
    <n v="0"/>
    <n v="294.66666666666663"/>
    <n v="1768"/>
    <n v="1056"/>
    <n v="188"/>
    <n v="0"/>
    <n v="364"/>
    <n v="2184"/>
    <n v="658.66666666666663"/>
    <n v="3952"/>
    <n v="0.44736842105263158"/>
    <n v="0.48076923076923078"/>
    <n v="0.51923076923076927"/>
    <n v="0"/>
    <n v="116"/>
    <n v="101"/>
    <n v="1365"/>
    <n v="2667"/>
    <n v="-477"/>
    <n v="444.5"/>
    <n v="-79.5"/>
    <n v="-0.15171755725190839"/>
    <m/>
    <n v="526"/>
    <n v="146"/>
    <n v="0"/>
    <n v="3"/>
    <n v="675"/>
    <n v="85"/>
    <n v="31"/>
    <n v="0"/>
    <n v="15"/>
    <n v="131"/>
    <n v="0"/>
    <n v="0"/>
    <n v="0"/>
    <n v="0"/>
    <n v="0"/>
    <n v="1461"/>
    <n v="243.5"/>
    <n v="78"/>
    <n v="7"/>
    <n v="613"/>
    <n v="2516"/>
    <n v="3214"/>
    <n v="12182"/>
    <n v="310.33333333333337"/>
    <n v="1862"/>
    <n v="39.254564983888287"/>
    <n v="6.5424274973147156"/>
    <m/>
    <n v="3070"/>
    <n v="1830"/>
    <n v="0"/>
    <n v="818.68421052631595"/>
    <n v="998"/>
    <n v="0"/>
    <n v="446.47368421052636"/>
    <n v="0"/>
    <n v="1557"/>
    <n v="1557"/>
    <n v="1776"/>
    <m/>
    <n v="794.52631578947376"/>
    <n v="48509"/>
    <n v="48509"/>
    <n v="0.44736842105263164"/>
    <n v="6686.6842105263158"/>
    <n v="22.69236723029293"/>
    <n v="3.7820612050488212"/>
    <m/>
    <n v="9900.6842105263167"/>
    <n v="990.06842105263172"/>
    <n v="0.30804866865358799"/>
    <n v="3.3599607049297462"/>
    <n v="0.55999345082162433"/>
    <n v="10.907239819004527"/>
    <n v="1.8178733031674208"/>
    <n v="61.946932214181217"/>
    <n v="65.306892919110965"/>
    <n v="72.854172033185748"/>
    <n v="10.324488702363537"/>
    <n v="10.884482153185161"/>
    <n v="12.142362005530957"/>
    <n v="4"/>
    <n v="6.1946932214181221"/>
    <n v="1825.3696025778731"/>
  </r>
  <r>
    <s v="Conoco Phillips"/>
    <x v="5"/>
    <x v="3"/>
    <n v="764"/>
    <n v="109"/>
    <n v="30"/>
    <n v="266.33333333333331"/>
    <n v="1598"/>
    <n v="1030"/>
    <n v="156"/>
    <n v="23"/>
    <n v="350.66666666666663"/>
    <n v="2104"/>
    <n v="617"/>
    <n v="3702"/>
    <n v="0.43165856293895194"/>
    <n v="0.47809762202753442"/>
    <n v="0.40926157697121407"/>
    <n v="0.11264080100125157"/>
    <n v="167"/>
    <n v="78"/>
    <n v="1295"/>
    <n v="2765"/>
    <n v="98"/>
    <n v="460.83333333333337"/>
    <n v="16.333333333333371"/>
    <n v="3.6745406824147064E-2"/>
    <m/>
    <n v="520"/>
    <n v="126"/>
    <n v="9"/>
    <n v="25"/>
    <n v="680"/>
    <n v="74"/>
    <n v="44"/>
    <n v="0"/>
    <n v="53"/>
    <n v="171"/>
    <n v="15"/>
    <n v="3"/>
    <n v="1"/>
    <n v="0"/>
    <n v="19"/>
    <n v="1820"/>
    <n v="303.33333333333331"/>
    <n v="260"/>
    <n v="100"/>
    <n v="606"/>
    <n v="2027"/>
    <n v="2993"/>
    <n v="11401"/>
    <n v="253.66666666666669"/>
    <n v="1522"/>
    <n v="44.944809461235216"/>
    <n v="7.4908015768725358"/>
    <m/>
    <n v="3031"/>
    <n v="809"/>
    <n v="0"/>
    <n v="349.2117774176121"/>
    <n v="1210"/>
    <n v="0"/>
    <n v="522.30686115613184"/>
    <n v="0"/>
    <n v="2068"/>
    <n v="2068"/>
    <n v="1658"/>
    <n v="0"/>
    <n v="715.68989735278228"/>
    <n v="56215"/>
    <n v="56215"/>
    <n v="0.43165856293895194"/>
    <n v="6686.2085359265266"/>
    <n v="25.104662838272318"/>
    <n v="4.1841104730453855"/>
    <m/>
    <n v="9679.2085359265257"/>
    <n v="967.92085359265263"/>
    <n v="0.3233948725668736"/>
    <n v="3.6342460084830512"/>
    <n v="0.60570766808050858"/>
    <n v="11.237797246558198"/>
    <n v="1.8729662077596996"/>
    <n v="70.049472299507528"/>
    <n v="73.683718307990574"/>
    <n v="81.28726954606573"/>
    <n v="11.674912049917921"/>
    <n v="12.28061971799843"/>
    <n v="13.54787825767762"/>
    <n v="4"/>
    <n v="7.0049472299507531"/>
    <n v="1865.6509455768837"/>
  </r>
  <r>
    <s v="Conoco Phillips"/>
    <x v="5"/>
    <x v="4"/>
    <n v="708"/>
    <n v="107"/>
    <n v="32"/>
    <n v="257"/>
    <n v="1542"/>
    <n v="924"/>
    <n v="116"/>
    <n v="19"/>
    <n v="289"/>
    <n v="1734"/>
    <n v="546"/>
    <n v="3276"/>
    <n v="0.47069597069597069"/>
    <n v="0.45914396887159531"/>
    <n v="0.41634241245136189"/>
    <n v="0.1245136186770428"/>
    <n v="190"/>
    <n v="73"/>
    <n v="1047"/>
    <n v="2625"/>
    <n v="-140"/>
    <n v="437.5"/>
    <n v="-23.333333333333371"/>
    <n v="-5.0632911392405139E-2"/>
    <m/>
    <n v="201"/>
    <n v="174"/>
    <n v="7"/>
    <n v="6"/>
    <n v="388"/>
    <n v="87"/>
    <n v="77"/>
    <n v="0"/>
    <n v="17"/>
    <n v="181"/>
    <n v="28"/>
    <n v="12"/>
    <n v="1"/>
    <n v="0"/>
    <n v="41"/>
    <n v="1720"/>
    <n v="286.66666666666669"/>
    <n v="578"/>
    <n v="10"/>
    <n v="1115"/>
    <n v="3132"/>
    <n v="4835"/>
    <n v="11042"/>
    <n v="833.5"/>
    <n v="5001"/>
    <n v="13.247750449910018"/>
    <n v="2.2079584083183361"/>
    <m/>
    <n v="3314"/>
    <n v="865"/>
    <n v="0"/>
    <n v="407.15201465201466"/>
    <n v="9827"/>
    <n v="0"/>
    <n v="4625.5293040293036"/>
    <n v="0"/>
    <n v="3241"/>
    <n v="3241"/>
    <n v="1442"/>
    <n v="0"/>
    <n v="678.74358974358972"/>
    <n v="64196"/>
    <n v="64196"/>
    <n v="0.47069597069597069"/>
    <n v="12266.424908424908"/>
    <n v="47.729279799318704"/>
    <n v="7.9548799665531176"/>
    <m/>
    <n v="17101.42490842491"/>
    <n v="1710.142490842491"/>
    <n v="0.3537006185816941"/>
    <n v="6.6542509371303149"/>
    <n v="1.1090418228550525"/>
    <n v="18.813229571984436"/>
    <n v="3.1355382619974059"/>
    <n v="60.977030249228719"/>
    <n v="67.631281186359033"/>
    <n v="79.790259821213155"/>
    <n v="10.162838374871454"/>
    <n v="11.271880197726507"/>
    <n v="13.298376636868859"/>
    <n v="4"/>
    <n v="6.0977030249228719"/>
    <n v="1567.109677405178"/>
  </r>
  <r>
    <s v="Conoco Phillips"/>
    <x v="5"/>
    <x v="5"/>
    <n v="685"/>
    <n v="115"/>
    <n v="36"/>
    <n v="265.16666666666669"/>
    <n v="1591"/>
    <n v="854"/>
    <n v="106"/>
    <n v="21"/>
    <n v="269.33333333333337"/>
    <n v="1616"/>
    <n v="534.5"/>
    <n v="3207"/>
    <n v="0.49610227627065795"/>
    <n v="0.43054682589566312"/>
    <n v="0.43368950345694529"/>
    <n v="0.13576367064739156"/>
    <n v="307"/>
    <n v="69"/>
    <n v="925"/>
    <n v="3181"/>
    <n v="556"/>
    <n v="530.16666666666663"/>
    <n v="92.666666666666629"/>
    <n v="0.21180952380952373"/>
    <m/>
    <n v="-483"/>
    <n v="451"/>
    <n v="9"/>
    <n v="27"/>
    <n v="4"/>
    <n v="9"/>
    <n v="205"/>
    <n v="0"/>
    <n v="16"/>
    <n v="230"/>
    <n v="-9"/>
    <n v="40"/>
    <n v="1"/>
    <n v="0"/>
    <n v="32"/>
    <n v="1576"/>
    <n v="262.66666666666663"/>
    <n v="564"/>
    <n v="33"/>
    <n v="1376"/>
    <n v="4561"/>
    <n v="6534"/>
    <n v="14362"/>
    <n v="852.66666666666663"/>
    <n v="5116"/>
    <n v="16.843627834245506"/>
    <n v="2.8072713057075842"/>
    <m/>
    <n v="3576"/>
    <n v="1106"/>
    <n v="0"/>
    <n v="548.68911755534759"/>
    <n v="8100"/>
    <n v="0"/>
    <n v="4018.4284377923291"/>
    <n v="0"/>
    <n v="2990"/>
    <n v="2990"/>
    <n v="1324"/>
    <n v="0"/>
    <n v="656.83941378235102"/>
    <n v="57967"/>
    <n v="57967"/>
    <n v="0.49610227627065789"/>
    <n v="11789.956969130028"/>
    <n v="44.462439858441336"/>
    <n v="7.4104066430735562"/>
    <m/>
    <n v="18323.956969130028"/>
    <n v="1832.3956969130029"/>
    <n v="0.28044011278129827"/>
    <n v="6.9103546080942904"/>
    <n v="1.1517257680157151"/>
    <n v="24.64110622250157"/>
    <n v="4.1068510370835956"/>
    <n v="61.306067692686838"/>
    <n v="68.216422300781133"/>
    <n v="85.947173915188415"/>
    <n v="10.217677948781141"/>
    <n v="11.369403716796857"/>
    <n v="14.324528985864736"/>
    <n v="4"/>
    <n v="6.1306067692686836"/>
    <n v="1625.6325616510794"/>
  </r>
  <r>
    <s v="Conoco Phillips"/>
    <x v="5"/>
    <x v="6"/>
    <n v="678"/>
    <n v="120"/>
    <n v="40"/>
    <n v="273"/>
    <n v="1638"/>
    <n v="977"/>
    <n v="98"/>
    <n v="59"/>
    <n v="319.83333333333337"/>
    <n v="1919"/>
    <n v="592.83333333333337"/>
    <n v="3557"/>
    <n v="0.46050042170368288"/>
    <n v="0.41391941391941389"/>
    <n v="0.43956043956043955"/>
    <n v="0.14652014652014653"/>
    <n v="441"/>
    <n v="100"/>
    <n v="939"/>
    <n v="4185"/>
    <n v="1004"/>
    <n v="697.5"/>
    <n v="167.33333333333337"/>
    <n v="0.31562401760452696"/>
    <m/>
    <n v="287"/>
    <n v="510"/>
    <n v="0"/>
    <n v="6"/>
    <n v="803"/>
    <n v="13"/>
    <n v="244"/>
    <n v="0"/>
    <n v="20"/>
    <n v="277"/>
    <n v="45"/>
    <n v="58"/>
    <n v="0"/>
    <n v="0"/>
    <n v="103"/>
    <n v="3083"/>
    <n v="513.83333333333337"/>
    <n v="314"/>
    <n v="4"/>
    <n v="1315"/>
    <n v="4992"/>
    <n v="6625"/>
    <n v="17994"/>
    <n v="1063.1666666666665"/>
    <n v="6379"/>
    <n v="16.924909860479701"/>
    <n v="2.8208183100799498"/>
    <m/>
    <n v="4068"/>
    <n v="854"/>
    <n v="0"/>
    <n v="393.26736013494525"/>
    <n v="4910"/>
    <n v="0"/>
    <n v="2261.0570705650834"/>
    <n v="0"/>
    <n v="2261"/>
    <n v="2261"/>
    <n v="1279"/>
    <n v="0"/>
    <n v="588.98003935901045"/>
    <n v="54413"/>
    <n v="54413"/>
    <n v="0.46050042170368294"/>
    <n v="9572.3044700590399"/>
    <n v="35.063386337212599"/>
    <n v="5.8438977228687667"/>
    <m/>
    <n v="16197.30447005904"/>
    <n v="1619.7304470059041"/>
    <n v="0.24448761464240062"/>
    <n v="5.9330785604611869"/>
    <n v="0.98884642674353118"/>
    <n v="24.267399267399266"/>
    <n v="4.0445665445665444"/>
    <n v="51.9882961976923"/>
    <n v="57.92137475815349"/>
    <n v="76.255695465091563"/>
    <n v="8.6647160329487161"/>
    <n v="9.6535624596922478"/>
    <n v="12.70928257751526"/>
    <n v="4"/>
    <n v="5.1988296197692296"/>
    <n v="1419.2804861969996"/>
  </r>
  <r>
    <s v="Conoco Phillips"/>
    <x v="5"/>
    <x v="7"/>
    <n v="679"/>
    <n v="132"/>
    <n v="40"/>
    <n v="285.16666666666669"/>
    <n v="1711"/>
    <n v="950"/>
    <n v="90"/>
    <n v="64"/>
    <n v="312.33333333333337"/>
    <n v="1874"/>
    <n v="597.5"/>
    <n v="3585"/>
    <n v="0.47726638772663876"/>
    <n v="0.39684395090590296"/>
    <n v="0.46288720046756282"/>
    <n v="0.14026884862653419"/>
    <n v="476"/>
    <n v="103"/>
    <n v="1079"/>
    <n v="4553"/>
    <n v="368"/>
    <n v="758.83333333333337"/>
    <n v="61.333333333333371"/>
    <n v="8.7933094384707339E-2"/>
    <m/>
    <n v="506"/>
    <n v="263"/>
    <n v="0"/>
    <n v="0"/>
    <n v="769"/>
    <n v="19"/>
    <n v="132"/>
    <n v="0"/>
    <n v="8"/>
    <n v="159"/>
    <n v="-13"/>
    <n v="26"/>
    <n v="0"/>
    <n v="0"/>
    <n v="13"/>
    <n v="1801"/>
    <n v="300.16666666666663"/>
    <n v="159"/>
    <n v="10"/>
    <n v="1477"/>
    <n v="6144"/>
    <n v="7790"/>
    <n v="20949"/>
    <n v="1076.6666666666665"/>
    <n v="6460"/>
    <n v="19.457275541795667"/>
    <n v="3.2428792569659444"/>
    <m/>
    <n v="4346"/>
    <n v="735"/>
    <n v="0"/>
    <n v="350.79079497907946"/>
    <n v="4203"/>
    <n v="0"/>
    <n v="2005.9506276150628"/>
    <n v="0"/>
    <n v="1542"/>
    <n v="1542"/>
    <n v="1136"/>
    <n v="0"/>
    <n v="542.17461645746164"/>
    <n v="52524"/>
    <n v="52524"/>
    <n v="0.47726638772663876"/>
    <n v="8786.9160390516045"/>
    <n v="30.813264894394869"/>
    <n v="5.1355441490658125"/>
    <m/>
    <n v="16576.916039051604"/>
    <n v="1657.6916039051605"/>
    <n v="0.21279738175932741"/>
    <n v="5.8130623164412407"/>
    <n v="0.96884371940687342"/>
    <n v="27.317358270017532"/>
    <n v="4.5528930450029224"/>
    <n v="50.270540436190537"/>
    <n v="56.083602752631776"/>
    <n v="77.587898706208065"/>
    <n v="8.3784234060317573"/>
    <n v="9.3472671254386306"/>
    <n v="12.931316451034679"/>
    <n v="4"/>
    <n v="5.0270540436190538"/>
    <n v="1433.5482447720335"/>
  </r>
  <r>
    <s v="Conoco Phillips"/>
    <x v="5"/>
    <x v="8"/>
    <n v="671"/>
    <n v="135"/>
    <n v="41"/>
    <n v="287.83333333333331"/>
    <n v="1727"/>
    <n v="972"/>
    <n v="87"/>
    <n v="74"/>
    <n v="323"/>
    <n v="1938"/>
    <n v="610.83333333333326"/>
    <n v="3665"/>
    <n v="0.47121418826739425"/>
    <n v="0.38853503184713378"/>
    <n v="0.46902142443543721"/>
    <n v="0.14244354371742907"/>
    <n v="401"/>
    <n v="86"/>
    <n v="747"/>
    <n v="3669"/>
    <n v="-884"/>
    <n v="611.5"/>
    <n v="-147.33333333333337"/>
    <n v="-0.19415769822095325"/>
    <m/>
    <n v="-1177"/>
    <n v="107"/>
    <n v="0"/>
    <n v="0"/>
    <n v="-1070"/>
    <n v="-184"/>
    <n v="77"/>
    <n v="0"/>
    <n v="8"/>
    <n v="-99"/>
    <n v="-85"/>
    <n v="10"/>
    <n v="0"/>
    <n v="0"/>
    <n v="-75"/>
    <n v="-2114"/>
    <n v="-352.33333333333337"/>
    <n v="168"/>
    <n v="5"/>
    <n v="1456"/>
    <n v="4092"/>
    <n v="5721"/>
    <n v="20136"/>
    <n v="461.66666666666663"/>
    <n v="2770"/>
    <n v="43.615884476534298"/>
    <n v="7.2693140794223829"/>
    <m/>
    <n v="4261"/>
    <n v="953"/>
    <n v="0"/>
    <n v="449.06712141882673"/>
    <n v="523"/>
    <n v="0"/>
    <n v="246.44502046384719"/>
    <n v="0"/>
    <n v="639"/>
    <n v="639"/>
    <n v="1214"/>
    <n v="0"/>
    <n v="572.05402455661658"/>
    <n v="29564"/>
    <n v="29564"/>
    <n v="0.47121418826739425"/>
    <n v="6167.5661664392901"/>
    <n v="21.427560508764181"/>
    <n v="3.5712600847940301"/>
    <m/>
    <n v="11888.56616643929"/>
    <n v="1188.8566166439291"/>
    <n v="0.20780573617268469"/>
    <n v="4.1303646206505933"/>
    <n v="0.68839410344176555"/>
    <n v="19.87608569774175"/>
    <n v="3.3126809496236249"/>
    <n v="65.043444985298478"/>
    <n v="69.173809605949074"/>
    <n v="84.919530683040222"/>
    <n v="10.840574164216413"/>
    <n v="11.528968267658179"/>
    <n v="14.153255113840038"/>
    <n v="4"/>
    <n v="6.5043444985298482"/>
    <n v="1872.1671581601745"/>
  </r>
  <r>
    <s v="Conoco Phillips"/>
    <x v="5"/>
    <x v="9"/>
    <n v="567"/>
    <n v="131"/>
    <n v="36"/>
    <n v="261.5"/>
    <n v="1569"/>
    <n v="994"/>
    <n v="87"/>
    <n v="84"/>
    <n v="336.66666666666663"/>
    <n v="2020"/>
    <n v="598.16666666666663"/>
    <n v="3589"/>
    <n v="0.43716912789077739"/>
    <n v="0.36137667304015297"/>
    <n v="0.50095602294455066"/>
    <n v="0.13766730401529637"/>
    <n v="340"/>
    <n v="69"/>
    <n v="523"/>
    <n v="2977"/>
    <n v="-692"/>
    <n v="496.16666666666669"/>
    <n v="-115.33333333333331"/>
    <n v="-0.18860724993186151"/>
    <m/>
    <n v="-229"/>
    <n v="164"/>
    <n v="0"/>
    <n v="0"/>
    <n v="-65"/>
    <n v="-150"/>
    <n v="112"/>
    <n v="9"/>
    <n v="0"/>
    <n v="-29"/>
    <n v="-32"/>
    <n v="18"/>
    <n v="0"/>
    <n v="0"/>
    <n v="-14"/>
    <n v="-323"/>
    <n v="-53.833333333333336"/>
    <n v="127"/>
    <n v="5"/>
    <n v="766"/>
    <n v="1502"/>
    <n v="2400"/>
    <n v="15911"/>
    <n v="-106.00000000000009"/>
    <n v="-636"/>
    <n v="-150.10377358490555"/>
    <n v="-25.017295597484278"/>
    <m/>
    <n v="3699"/>
    <n v="723"/>
    <n v="0"/>
    <n v="316.07327946503204"/>
    <n v="-318"/>
    <n v="0"/>
    <n v="-139.01978266926722"/>
    <n v="0"/>
    <n v="539"/>
    <n v="539"/>
    <n v="1402"/>
    <n v="0"/>
    <n v="612.91111730286991"/>
    <n v="23693"/>
    <n v="23693"/>
    <n v="0.43716912789077739"/>
    <n v="5027.9646140986351"/>
    <n v="19.227398141868587"/>
    <n v="3.2045663569780976"/>
    <m/>
    <n v="7427.9646140986351"/>
    <n v="742.79646140986358"/>
    <n v="0.30949852558744317"/>
    <n v="2.8405218409555011"/>
    <n v="0.4734203068259169"/>
    <n v="9.1778202676864247"/>
    <n v="1.5296367112810707"/>
    <n v="-130.87637544303698"/>
    <n v="-128.03585360208149"/>
    <n v="-121.69855517535055"/>
    <n v="-21.812729240506179"/>
    <n v="-21.339308933680261"/>
    <n v="-20.283092529225108"/>
    <n v="4"/>
    <n v="-13.087637544303698"/>
    <n v="-3422.417217835417"/>
  </r>
  <r>
    <s v="Continental"/>
    <x v="6"/>
    <x v="0"/>
    <n v="17.151"/>
    <n v="9.1470000000000002"/>
    <n v="0"/>
    <n v="12.0055"/>
    <n v="72.033000000000001"/>
    <n v="0"/>
    <n v="0"/>
    <n v="0"/>
    <n v="0"/>
    <n v="0"/>
    <n v="12.0055"/>
    <n v="72.033000000000001"/>
    <n v="1"/>
    <n v="0.23809920453125649"/>
    <n v="0.76190079546874356"/>
    <n v="0"/>
    <n v="24.388999999999999"/>
    <n v="0"/>
    <n v="53.988"/>
    <n v="200.322"/>
    <m/>
    <n v="33.387"/>
    <m/>
    <m/>
    <m/>
    <n v="7.4340000000000002"/>
    <n v="64.988"/>
    <n v="6.6000000000000003E-2"/>
    <n v="0"/>
    <n v="72.488"/>
    <n v="2.1339999999999999"/>
    <n v="12.744999999999999"/>
    <n v="5.5E-2"/>
    <n v="0"/>
    <n v="14.933999999999999"/>
    <n v="0"/>
    <n v="0"/>
    <n v="0"/>
    <n v="0"/>
    <n v="0"/>
    <n v="162.09199999999998"/>
    <n v="27.015333333333331"/>
    <n v="21.728999999999999"/>
    <n v="4.1660000000000004"/>
    <n v="181.64700000000002"/>
    <n v="316.33999999999997"/>
    <n v="523.88200000000006"/>
    <m/>
    <m/>
    <m/>
    <m/>
    <m/>
    <m/>
    <m/>
    <m/>
    <m/>
    <m/>
    <m/>
    <m/>
    <m/>
    <m/>
    <m/>
    <m/>
    <m/>
    <m/>
    <m/>
    <n v="0"/>
    <n v="0"/>
    <m/>
    <m/>
    <m/>
    <m/>
    <m/>
    <m/>
    <m/>
    <m/>
    <m/>
    <m/>
    <m/>
    <m/>
    <m/>
    <m/>
    <m/>
    <m/>
    <m/>
    <m/>
    <m/>
    <m/>
    <m/>
  </r>
  <r>
    <s v="Continental"/>
    <x v="6"/>
    <x v="1"/>
    <n v="21.606000000000002"/>
    <n v="10.022"/>
    <n v="0"/>
    <n v="13.623000000000001"/>
    <n v="81.738"/>
    <n v="0"/>
    <n v="0"/>
    <n v="0"/>
    <n v="0"/>
    <n v="0"/>
    <n v="13.623000000000001"/>
    <n v="81.738"/>
    <n v="1"/>
    <n v="0.26433237906481688"/>
    <n v="0.73566762093518312"/>
    <n v="0"/>
    <n v="25.852"/>
    <n v="0"/>
    <n v="164.602"/>
    <n v="319.714"/>
    <n v="119.392"/>
    <n v="53.285666666666671"/>
    <n v="19.898666666666671"/>
    <n v="0.59600043929273883"/>
    <m/>
    <n v="-16.178999999999998"/>
    <n v="167.28800000000001"/>
    <n v="1.361"/>
    <n v="0"/>
    <n v="152.47"/>
    <n v="-10.526999999999999"/>
    <n v="19.765000000000001"/>
    <n v="2.0030000000000001"/>
    <n v="0"/>
    <n v="11.241000000000001"/>
    <n v="0"/>
    <n v="0"/>
    <n v="0"/>
    <n v="0"/>
    <n v="0"/>
    <n v="219.916"/>
    <n v="36.652666666666669"/>
    <n v="199.62100000000001"/>
    <n v="74.662999999999997"/>
    <n v="234.57599999999999"/>
    <n v="468.56799999999998"/>
    <n v="977.428"/>
    <m/>
    <m/>
    <m/>
    <m/>
    <m/>
    <m/>
    <m/>
    <m/>
    <m/>
    <m/>
    <m/>
    <m/>
    <m/>
    <m/>
    <m/>
    <m/>
    <m/>
    <m/>
    <m/>
    <n v="0"/>
    <n v="0"/>
    <m/>
    <m/>
    <m/>
    <m/>
    <m/>
    <m/>
    <m/>
    <m/>
    <m/>
    <m/>
    <m/>
    <m/>
    <m/>
    <m/>
    <m/>
    <m/>
    <m/>
    <m/>
    <m/>
    <m/>
    <m/>
  </r>
  <r>
    <s v="Continental"/>
    <x v="6"/>
    <x v="2"/>
    <n v="21.606000000000002"/>
    <n v="10.022"/>
    <n v="0"/>
    <n v="13.623000000000001"/>
    <n v="81.738"/>
    <n v="0"/>
    <n v="0"/>
    <n v="0"/>
    <n v="0"/>
    <n v="0"/>
    <n v="13.623000000000001"/>
    <n v="81.738"/>
    <n v="1"/>
    <n v="0.26433237906481688"/>
    <n v="0.73566762093518312"/>
    <n v="0"/>
    <n v="88.01"/>
    <n v="0"/>
    <n v="334.298"/>
    <n v="862.35800000000006"/>
    <n v="542.64400000000001"/>
    <n v="143.72633333333334"/>
    <n v="90.440666666666672"/>
    <n v="1.6972794435026304"/>
    <m/>
    <n v="-2.4849999999999999"/>
    <n v="210.029"/>
    <n v="4.0000000000000001E-3"/>
    <n v="0"/>
    <n v="207.54799999999997"/>
    <n v="1.609"/>
    <n v="75.45"/>
    <n v="4.0000000000000001E-3"/>
    <n v="0"/>
    <n v="77.063000000000002"/>
    <n v="0"/>
    <n v="0"/>
    <n v="0"/>
    <n v="0"/>
    <n v="0"/>
    <n v="669.92600000000004"/>
    <n v="111.65433333333334"/>
    <n v="73.272999999999996"/>
    <n v="1.2170000000000001"/>
    <n v="98.072000000000003"/>
    <n v="259.548"/>
    <n v="432.11"/>
    <n v="1933.42"/>
    <n v="175.32233333333335"/>
    <n v="1051.934"/>
    <n v="11.027802124467884"/>
    <n v="1.8379670207446477"/>
    <m/>
    <n v="93.242000000000004"/>
    <n v="41.094000000000001"/>
    <m/>
    <n v="39.978945777729635"/>
    <n v="0.14599999999999999"/>
    <m/>
    <n v="0.14203840179949689"/>
    <m/>
    <n v="45.645000000000003"/>
    <n v="45.645000000000003"/>
    <n v="20.544609999999999"/>
    <m/>
    <n v="19.987147739684673"/>
    <n v="610.69799999999998"/>
    <n v="627.73099999999999"/>
    <n v="0.97286576574997885"/>
    <n v="198.9951319192138"/>
    <n v="14.607291486399015"/>
    <n v="2.4345485810665028"/>
    <m/>
    <n v="631.10513191921382"/>
    <n v="63.110513191921385"/>
    <n v="0.14605196175029828"/>
    <n v="4.6326442921472051"/>
    <n v="0.77210738202453433"/>
    <n v="31.719151435073037"/>
    <n v="5.2865252391788395"/>
    <n v="25.6350936108669"/>
    <n v="30.267737903014105"/>
    <n v="57.354245045939933"/>
    <n v="4.2725156018111505"/>
    <n v="5.0446229838356853"/>
    <n v="9.5590408409899901"/>
    <n v="4"/>
    <n v="2.5635093610866901"/>
    <n v="34.922688026083982"/>
  </r>
  <r>
    <s v="Continental"/>
    <x v="6"/>
    <x v="3"/>
    <n v="23.943000000000001"/>
    <n v="11.82"/>
    <n v="0"/>
    <n v="15.810500000000001"/>
    <n v="94.863"/>
    <n v="0"/>
    <n v="0"/>
    <n v="0"/>
    <n v="0"/>
    <n v="0"/>
    <n v="15.810500000000001"/>
    <n v="94.863"/>
    <n v="1"/>
    <n v="0.25239555991271623"/>
    <n v="0.74760444008728377"/>
    <n v="0"/>
    <n v="123.512"/>
    <n v="0"/>
    <n v="604.86900000000003"/>
    <n v="1345.941"/>
    <n v="483.58299999999997"/>
    <n v="224.32350000000002"/>
    <n v="80.597166666666681"/>
    <n v="0.56076826561590432"/>
    <m/>
    <n v="79.284999999999997"/>
    <n v="280.14600000000002"/>
    <n v="0"/>
    <n v="0"/>
    <n v="359.43100000000004"/>
    <n v="14.414"/>
    <n v="48.542000000000002"/>
    <n v="0.36799999999999999"/>
    <n v="0"/>
    <n v="63.324000000000005"/>
    <n v="0"/>
    <n v="0"/>
    <n v="0"/>
    <n v="0"/>
    <n v="0"/>
    <n v="739.375"/>
    <n v="123.22916666666669"/>
    <n v="340.06400000000002"/>
    <n v="7.3380000000000001"/>
    <n v="288.57499999999999"/>
    <n v="560.851"/>
    <n v="1196.828"/>
    <n v="2606.366"/>
    <n v="271.5361666666667"/>
    <n v="1629.2170000000001"/>
    <n v="9.5985961354442022"/>
    <n v="1.599766022574034"/>
    <m/>
    <n v="93.203000000000003"/>
    <n v="49.09"/>
    <m/>
    <n v="48.011700189827678"/>
    <n v="10.879"/>
    <m/>
    <n v="10.640034352518542"/>
    <m/>
    <n v="76.659000000000006"/>
    <n v="76.659000000000006"/>
    <n v="70.951176250000003"/>
    <m/>
    <n v="69.392678798749685"/>
    <n v="948.524"/>
    <n v="969.827"/>
    <n v="0.9780342267229104"/>
    <n v="297.90641334109591"/>
    <n v="18.842314496132058"/>
    <n v="3.1403857493553433"/>
    <m/>
    <n v="1494.7344133410959"/>
    <n v="149.47344133410959"/>
    <n v="0.12489133052878909"/>
    <n v="9.4540616257619678"/>
    <n v="1.5756769376269946"/>
    <n v="75.698301761487613"/>
    <n v="12.616383626914603"/>
    <n v="28.440910631576259"/>
    <n v="37.894972257338225"/>
    <n v="104.13921239306387"/>
    <n v="4.7401517719293773"/>
    <n v="6.3158287095563717"/>
    <n v="17.356535398843981"/>
    <n v="4"/>
    <n v="2.8440910631576259"/>
    <n v="44.966501754053645"/>
  </r>
  <r>
    <s v="Continental"/>
    <x v="6"/>
    <x v="4"/>
    <n v="36.670999999999999"/>
    <n v="16.469000000000001"/>
    <n v="0"/>
    <n v="22.580833333333334"/>
    <n v="135.48500000000001"/>
    <n v="0"/>
    <n v="0"/>
    <n v="0"/>
    <n v="0"/>
    <n v="0"/>
    <n v="22.580833333333334"/>
    <n v="135.48500000000001"/>
    <n v="1"/>
    <n v="0.27066464922316119"/>
    <n v="0.72933535077683875"/>
    <n v="0"/>
    <n v="181.10900000000001"/>
    <n v="0"/>
    <n v="732.56700000000001"/>
    <n v="1819.221"/>
    <n v="473.28"/>
    <n v="303.20350000000002"/>
    <n v="78.88"/>
    <n v="0.35163502709256939"/>
    <m/>
    <n v="-158.21899999999999"/>
    <n v="447.09800000000001"/>
    <n v="2.056"/>
    <n v="0"/>
    <n v="290.935"/>
    <n v="28.606999999999999"/>
    <n v="87.465000000000003"/>
    <n v="1.746"/>
    <n v="0"/>
    <n v="117.818"/>
    <n v="0"/>
    <n v="0"/>
    <n v="0"/>
    <n v="0"/>
    <n v="0"/>
    <n v="997.84300000000007"/>
    <n v="166.30716666666666"/>
    <n v="183.24700000000001"/>
    <n v="65.314999999999998"/>
    <n v="733.09699999999998"/>
    <n v="1174.4359999999999"/>
    <n v="2156.0949999999998"/>
    <n v="3785.0329999999999"/>
    <n v="401.19066666666669"/>
    <n v="2407.1440000000002"/>
    <n v="9.4344991408906154"/>
    <n v="1.5724165234817691"/>
    <m/>
    <n v="138.23599999999999"/>
    <n v="72.816999999999993"/>
    <m/>
    <n v="71.411713107454403"/>
    <n v="16.03"/>
    <m/>
    <n v="15.720638877082196"/>
    <m/>
    <n v="144.81"/>
    <n v="144.81"/>
    <n v="69.38866625"/>
    <m/>
    <n v="68.049542375460462"/>
    <n v="1647.4190000000001"/>
    <n v="1679.8380000000002"/>
    <n v="0.98070111522658732"/>
    <n v="438.22789435999709"/>
    <n v="19.407073596043713"/>
    <n v="3.2345122660072851"/>
    <m/>
    <n v="2594.322894359997"/>
    <n v="259.43228943599973"/>
    <n v="0.12032507354082253"/>
    <n v="11.489048504380547"/>
    <n v="1.9148414173967576"/>
    <n v="95.483411447761725"/>
    <n v="15.913901907960287"/>
    <n v="28.841572736934328"/>
    <n v="40.330621241314873"/>
    <n v="124.32498418469605"/>
    <n v="4.8069287894890547"/>
    <n v="6.7217702068858127"/>
    <n v="20.720830697449344"/>
    <n v="4"/>
    <n v="2.8841572736934329"/>
    <n v="65.126674704392457"/>
  </r>
  <r>
    <s v="Continental"/>
    <x v="6"/>
    <x v="5"/>
    <n v="63.875"/>
    <n v="25.07"/>
    <n v="0"/>
    <n v="35.715833333333336"/>
    <n v="214.29500000000002"/>
    <n v="0"/>
    <n v="0"/>
    <n v="0"/>
    <n v="0"/>
    <n v="0"/>
    <n v="35.715833333333336"/>
    <n v="214.29500000000002"/>
    <n v="1"/>
    <n v="0.29807041694859887"/>
    <n v="0.70192958305140107"/>
    <n v="0"/>
    <n v="334.29300000000001"/>
    <n v="0"/>
    <n v="795.58500000000004"/>
    <n v="2801.3429999999998"/>
    <n v="982.12199999999984"/>
    <n v="466.89049999999997"/>
    <n v="163.68699999999995"/>
    <n v="0.5398585438492628"/>
    <m/>
    <n v="-174.73599999999999"/>
    <n v="400.84800000000001"/>
    <n v="89.061000000000007"/>
    <n v="0"/>
    <n v="315.173"/>
    <n v="33.271999999999998"/>
    <n v="166.84399999999999"/>
    <n v="67.149000000000001"/>
    <n v="0"/>
    <n v="267.26499999999999"/>
    <n v="0"/>
    <n v="0"/>
    <n v="0"/>
    <n v="0"/>
    <n v="0"/>
    <n v="1918.7629999999999"/>
    <n v="319.79383333333334"/>
    <n v="745.601"/>
    <n v="738.41499999999996"/>
    <n v="854.38100000000009"/>
    <n v="1974.66"/>
    <n v="4313.0569999999998"/>
    <n v="7665.98"/>
    <n v="609.33016666666663"/>
    <n v="3655.9809999999998"/>
    <n v="12.580995360752695"/>
    <n v="2.0968325601254492"/>
    <m/>
    <n v="195.44"/>
    <n v="121.735"/>
    <m/>
    <n v="119.76836765827139"/>
    <n v="0.82899999999999996"/>
    <m/>
    <n v="0.81560748173250897"/>
    <m/>
    <n v="228.43799999999999"/>
    <n v="228.43799999999999"/>
    <n v="177.1678919"/>
    <m/>
    <n v="174.30573963379538"/>
    <n v="2379.433"/>
    <n v="2418.5039999999999"/>
    <n v="0.98384497193306275"/>
    <n v="718.7677147737993"/>
    <n v="20.124623946628692"/>
    <n v="3.3541039911047821"/>
    <m/>
    <n v="5031.8247147737993"/>
    <n v="503.18247147737998"/>
    <n v="0.11666492501197642"/>
    <n v="14.088498699756316"/>
    <n v="2.3480831166260527"/>
    <n v="120.76036305093444"/>
    <n v="20.12672717515574"/>
    <n v="32.705619307381383"/>
    <n v="46.794118007137698"/>
    <n v="153.46598235831584"/>
    <n v="5.4509365512302317"/>
    <n v="7.7990196678562844"/>
    <n v="25.577663726385971"/>
    <n v="4"/>
    <n v="3.2705619307381384"/>
    <n v="116.81084482458823"/>
  </r>
  <r>
    <s v="Continental"/>
    <x v="6"/>
    <x v="6"/>
    <n v="87.73"/>
    <n v="34.988999999999997"/>
    <n v="0"/>
    <n v="49.610666666666667"/>
    <n v="297.66399999999999"/>
    <n v="0"/>
    <n v="0"/>
    <n v="0"/>
    <n v="0"/>
    <n v="0"/>
    <n v="49.610666666666667"/>
    <n v="297.66399999999999"/>
    <n v="1"/>
    <n v="0.2947282842399484"/>
    <n v="0.70527171576005154"/>
    <n v="0"/>
    <n v="459.15800000000002"/>
    <n v="0"/>
    <n v="1309.0509999999999"/>
    <n v="4063.9990000000003"/>
    <n v="1262.6560000000004"/>
    <n v="677.33316666666667"/>
    <n v="210.4426666666667"/>
    <n v="0.45073238086160827"/>
    <m/>
    <n v="-241.62299999999999"/>
    <n v="1065.8699999999999"/>
    <n v="0.41899999999999998"/>
    <n v="0"/>
    <n v="824.66599999999983"/>
    <n v="-55.783000000000001"/>
    <n v="267.00900000000001"/>
    <n v="0.38800000000000001"/>
    <n v="0"/>
    <n v="211.614"/>
    <n v="0"/>
    <n v="0"/>
    <n v="0"/>
    <n v="0"/>
    <n v="0"/>
    <n v="2094.35"/>
    <n v="349.05833333333328"/>
    <n v="546.88099999999997"/>
    <n v="16.603999999999999"/>
    <n v="685.9670000000001"/>
    <n v="2543.203"/>
    <n v="3792.6550000000002"/>
    <n v="10261.807000000001"/>
    <n v="835.15933333333328"/>
    <n v="5010.9560000000001"/>
    <n v="12.287244589655149"/>
    <n v="2.0478740982758579"/>
    <m/>
    <n v="282.197"/>
    <n v="144.37899999999999"/>
    <m/>
    <n v="142.79039199199539"/>
    <n v="29.016999999999999"/>
    <m/>
    <n v="28.697724769057345"/>
    <m/>
    <n v="298.78699999999998"/>
    <n v="298.78699999999998"/>
    <n v="242.74997675"/>
    <m/>
    <n v="240.07898888467346"/>
    <n v="3606.7739999999999"/>
    <n v="3646.9009999999998"/>
    <n v="0.98899695933615972"/>
    <n v="992.55110564572624"/>
    <n v="20.00680846146782"/>
    <n v="3.3344680769113038"/>
    <m/>
    <n v="4785.206105645726"/>
    <n v="478.52061056457262"/>
    <n v="0.12617035047073161"/>
    <n v="9.6455186498449113"/>
    <n v="1.6075864416408185"/>
    <n v="76.448378036981296"/>
    <n v="12.741396339496884"/>
    <n v="32.294053051122972"/>
    <n v="41.939571700967882"/>
    <n v="108.74243108810427"/>
    <n v="5.3823421751871621"/>
    <n v="6.9899286168279806"/>
    <n v="18.123738514684046"/>
    <n v="4"/>
    <n v="3.2294053051122971"/>
    <n v="160.21295012349114"/>
  </r>
  <r>
    <s v="Continental"/>
    <x v="6"/>
    <x v="7"/>
    <n v="114.295"/>
    <n v="44.53"/>
    <n v="0"/>
    <n v="63.579166666666666"/>
    <n v="381.47500000000002"/>
    <n v="0"/>
    <n v="0"/>
    <n v="0"/>
    <n v="0"/>
    <n v="0"/>
    <n v="63.579166666666666"/>
    <n v="381.47500000000002"/>
    <n v="1"/>
    <n v="0.29961334294514713"/>
    <n v="0.70038665705485292"/>
    <n v="0"/>
    <n v="524.22299999999996"/>
    <n v="0"/>
    <n v="1946.335"/>
    <n v="5091.6729999999998"/>
    <n v="1027.6739999999995"/>
    <n v="848.61216666666655"/>
    <n v="171.27899999999988"/>
    <n v="0.25287260159266756"/>
    <m/>
    <n v="-244.78299999999999"/>
    <n v="1206.569"/>
    <n v="4.4980000000000002"/>
    <n v="0"/>
    <n v="966.28399999999999"/>
    <n v="-67.150999999999996"/>
    <n v="239.52600000000001"/>
    <n v="0.85"/>
    <n v="0"/>
    <n v="173.22499999999999"/>
    <n v="0"/>
    <n v="0"/>
    <n v="0"/>
    <n v="0"/>
    <n v="0"/>
    <n v="2005.634"/>
    <n v="334.27233333333334"/>
    <n v="409.529"/>
    <n v="48.917000000000002"/>
    <n v="862.40599999999995"/>
    <n v="3651.348"/>
    <n v="4972.2"/>
    <n v="13077.912"/>
    <n v="1003.1244999999999"/>
    <n v="6018.7469999999994"/>
    <n v="13.037177339403037"/>
    <n v="2.172862889900506"/>
    <m/>
    <n v="352.47199999999998"/>
    <n v="184.655"/>
    <m/>
    <n v="182.96436241987297"/>
    <n v="53.457000000000001"/>
    <m/>
    <n v="52.96756611994882"/>
    <m/>
    <n v="349.76"/>
    <n v="349.76"/>
    <n v="262.65889241666667"/>
    <m/>
    <n v="260.25407806409481"/>
    <n v="4203.0219999999999"/>
    <n v="4241.8590000000004"/>
    <n v="0.99084434442540392"/>
    <n v="1198.4180066039166"/>
    <n v="18.849224823706663"/>
    <n v="3.1415374706177772"/>
    <m/>
    <n v="6170.618006603916"/>
    <n v="617.06180066039167"/>
    <n v="0.12410236930541646"/>
    <n v="9.7054087527684647"/>
    <n v="1.6175681254614107"/>
    <n v="78.20486270397798"/>
    <n v="13.034143783996329"/>
    <n v="31.8864021631097"/>
    <n v="41.591810915878163"/>
    <n v="110.09126486708769"/>
    <n v="5.3144003605182828"/>
    <n v="6.9319684859796933"/>
    <n v="18.348544144514612"/>
    <n v="4"/>
    <n v="3.1886402163109699"/>
    <n v="202.73108775287122"/>
  </r>
  <r>
    <s v="Continental"/>
    <x v="6"/>
    <x v="8"/>
    <n v="164.45400000000001"/>
    <n v="53.517000000000003"/>
    <n v="0"/>
    <n v="80.926000000000002"/>
    <n v="485.55600000000004"/>
    <n v="0"/>
    <n v="0"/>
    <n v="0"/>
    <n v="0"/>
    <n v="0"/>
    <n v="80.926000000000002"/>
    <n v="485.55600000000004"/>
    <n v="1"/>
    <n v="0.33869213849689839"/>
    <n v="0.66130786150310161"/>
    <n v="0"/>
    <n v="373.71600000000001"/>
    <n v="0"/>
    <n v="1961.443"/>
    <n v="4203.7390000000005"/>
    <n v="-887.93399999999929"/>
    <n v="700.62316666666675"/>
    <n v="-147.98899999999981"/>
    <n v="-0.17438943938465784"/>
    <m/>
    <n v="-302.14299999999997"/>
    <n v="710.45299999999997"/>
    <n v="0"/>
    <n v="0"/>
    <n v="408.31"/>
    <n v="-246.84"/>
    <n v="134.76400000000001"/>
    <n v="0"/>
    <n v="0"/>
    <n v="-112.07599999999999"/>
    <n v="0"/>
    <n v="0"/>
    <n v="0"/>
    <n v="0"/>
    <n v="0"/>
    <n v="-264.1459999999999"/>
    <n v="-44.024333333333331"/>
    <n v="168.49199999999999"/>
    <n v="0.55700000000000005"/>
    <n v="238.22299999999998"/>
    <n v="2129.0300000000002"/>
    <n v="2536.3020000000001"/>
    <n v="11301.156999999999"/>
    <n v="639.30633333333333"/>
    <n v="3835.8380000000006"/>
    <n v="17.677217338167043"/>
    <n v="2.9462028896945069"/>
    <m/>
    <n v="348.89699999999999"/>
    <n v="189.846"/>
    <m/>
    <n v="187.16587586874422"/>
    <n v="0.03"/>
    <m/>
    <n v="2.9576479230862523E-2"/>
    <m/>
    <n v="200.637"/>
    <n v="200.637"/>
    <n v="305.54302235"/>
    <m/>
    <n v="301.22956182232463"/>
    <n v="2552.5309999999999"/>
    <n v="2589.0819999999999"/>
    <n v="0.98588264102875078"/>
    <n v="1037.9590141702997"/>
    <n v="12.826026421302174"/>
    <n v="2.1376710702170287"/>
    <m/>
    <n v="3574.2610141702999"/>
    <n v="357.42610141703"/>
    <n v="0.1409241097538976"/>
    <n v="4.4167029312832708"/>
    <n v="0.73611715521387844"/>
    <n v="31.341002891530536"/>
    <n v="5.2235004819217554"/>
    <n v="30.503243759469218"/>
    <n v="34.919946690752489"/>
    <n v="61.84424665099975"/>
    <n v="5.0838739599115357"/>
    <n v="5.819991115125414"/>
    <n v="10.307374441833291"/>
    <n v="4"/>
    <n v="3.0503243759469219"/>
    <n v="246.85055044788061"/>
  </r>
  <r>
    <s v="Continental"/>
    <x v="6"/>
    <x v="9"/>
    <n v="195.24"/>
    <n v="46.85"/>
    <n v="0"/>
    <n v="79.39"/>
    <n v="476.34000000000003"/>
    <n v="0"/>
    <n v="0"/>
    <n v="0"/>
    <n v="0"/>
    <n v="0"/>
    <n v="79.39"/>
    <n v="476.34000000000003"/>
    <n v="1"/>
    <n v="0.40987529915606497"/>
    <n v="0.59012470084393498"/>
    <n v="0"/>
    <n v="353.01799999999997"/>
    <n v="0"/>
    <n v="2419.1979999999999"/>
    <n v="4537.3059999999996"/>
    <n v="333.5669999999991"/>
    <n v="756.21766666666667"/>
    <n v="55.594499999999925"/>
    <n v="7.9350073827133299E-2"/>
    <m/>
    <n v="-63.057000000000002"/>
    <n v="911.06200000000001"/>
    <n v="0"/>
    <n v="0"/>
    <n v="848.005"/>
    <n v="-99.965999999999994"/>
    <n v="97.587000000000003"/>
    <n v="0"/>
    <n v="0"/>
    <n v="-2.3789999999999907"/>
    <n v="0"/>
    <n v="0"/>
    <n v="0"/>
    <n v="0"/>
    <n v="0"/>
    <n v="833.73099999999999"/>
    <n v="138.95516666666668"/>
    <n v="149.96199999999999"/>
    <n v="5.008"/>
    <n v="182.35499999999999"/>
    <n v="767.14800000000002"/>
    <n v="1104.473"/>
    <n v="8612.9750000000004"/>
    <n v="429.20316666666668"/>
    <n v="2575.2190000000001"/>
    <n v="20.067361261314087"/>
    <n v="3.3445602102190146"/>
    <m/>
    <n v="289.28899999999999"/>
    <n v="169.58"/>
    <m/>
    <n v="169.07452276270351"/>
    <n v="2E-3"/>
    <m/>
    <n v="1.9940384805130734E-3"/>
    <m/>
    <n v="142.38800000000001"/>
    <n v="142.38800000000001"/>
    <n v="310"/>
    <m/>
    <n v="309.07596447952642"/>
    <n v="2020.9580000000001"/>
    <n v="2027"/>
    <n v="0.99701924025653677"/>
    <n v="909.82948128071052"/>
    <n v="11.460252944712312"/>
    <n v="1.9100421574520521"/>
    <m/>
    <n v="2014.3024812807105"/>
    <n v="201.43024812807107"/>
    <n v="0.18237679701366269"/>
    <n v="2.537224437940182"/>
    <n v="0.42287073965669703"/>
    <n v="13.911991434689506"/>
    <n v="2.3186652391149178"/>
    <n v="31.527614206026399"/>
    <n v="34.064838643966581"/>
    <n v="45.439605640715904"/>
    <n v="5.2546023676710671"/>
    <n v="5.6774731073277644"/>
    <n v="7.5732676067859845"/>
    <n v="4"/>
    <n v="3.1527614206026398"/>
    <n v="250.29772918164358"/>
  </r>
  <r>
    <s v="Devon Energy"/>
    <x v="7"/>
    <x v="0"/>
    <n v="635"/>
    <n v="19"/>
    <n v="22"/>
    <n v="146.83333333333331"/>
    <n v="881"/>
    <n v="227"/>
    <n v="16"/>
    <n v="4"/>
    <n v="57.833333333333336"/>
    <n v="347"/>
    <n v="204.66666666666666"/>
    <n v="1228"/>
    <n v="0.71742671009771986"/>
    <n v="0.72077185017026102"/>
    <n v="0.12939841089670831"/>
    <n v="0.14982973893303067"/>
    <n v="22"/>
    <n v="38"/>
    <n v="1400"/>
    <n v="1760"/>
    <m/>
    <n v="293.33333333333337"/>
    <m/>
    <m/>
    <m/>
    <n v="293"/>
    <n v="1133"/>
    <n v="10"/>
    <n v="0"/>
    <n v="1436"/>
    <n v="10"/>
    <n v="9"/>
    <n v="1"/>
    <n v="0"/>
    <n v="20"/>
    <n v="26"/>
    <n v="45"/>
    <n v="0"/>
    <n v="0"/>
    <n v="71"/>
    <n v="1982"/>
    <n v="330.33333333333337"/>
    <n v="156"/>
    <n v="3"/>
    <n v="569"/>
    <n v="3542"/>
    <n v="4270"/>
    <m/>
    <m/>
    <m/>
    <m/>
    <m/>
    <s v="Costs and adds include oil. Sales excluded. "/>
    <m/>
    <m/>
    <m/>
    <m/>
    <m/>
    <m/>
    <m/>
    <m/>
    <m/>
    <m/>
    <m/>
    <m/>
    <m/>
    <n v="0"/>
    <n v="0"/>
    <m/>
    <m/>
    <m/>
    <m/>
    <m/>
    <m/>
    <m/>
    <m/>
    <m/>
    <m/>
    <m/>
    <m/>
    <m/>
    <m/>
    <m/>
    <m/>
    <m/>
    <m/>
    <n v="4"/>
    <m/>
    <m/>
  </r>
  <r>
    <s v="Devon Energy"/>
    <x v="7"/>
    <x v="1"/>
    <n v="726"/>
    <n v="17"/>
    <n v="24"/>
    <n v="162"/>
    <n v="972"/>
    <n v="212"/>
    <n v="22"/>
    <n v="4"/>
    <n v="61.333333333333336"/>
    <n v="368"/>
    <n v="223.33333333333334"/>
    <n v="1340"/>
    <n v="0.72537313432835826"/>
    <n v="0.74691358024691357"/>
    <n v="0.10493827160493827"/>
    <n v="0.14814814814814814"/>
    <n v="34"/>
    <n v="56"/>
    <n v="1688"/>
    <n v="2228"/>
    <n v="468"/>
    <n v="371.33333333333331"/>
    <n v="77.999999999999943"/>
    <n v="0.26590909090909071"/>
    <m/>
    <n v="-263"/>
    <n v="1966"/>
    <n v="250"/>
    <n v="0"/>
    <n v="1953"/>
    <n v="-15"/>
    <n v="12"/>
    <n v="18"/>
    <n v="0"/>
    <n v="15"/>
    <n v="-12"/>
    <n v="65"/>
    <n v="6"/>
    <n v="0"/>
    <n v="59"/>
    <n v="2397"/>
    <n v="399.5"/>
    <n v="1411"/>
    <n v="822"/>
    <n v="844"/>
    <n v="4733"/>
    <n v="7810"/>
    <m/>
    <m/>
    <m/>
    <m/>
    <m/>
    <s v="Costs and adds include oil. Sales excluded. "/>
    <m/>
    <m/>
    <m/>
    <m/>
    <m/>
    <m/>
    <m/>
    <m/>
    <m/>
    <m/>
    <m/>
    <m/>
    <m/>
    <n v="0"/>
    <n v="0"/>
    <m/>
    <m/>
    <m/>
    <m/>
    <m/>
    <m/>
    <m/>
    <m/>
    <m/>
    <m/>
    <m/>
    <m/>
    <m/>
    <m/>
    <m/>
    <m/>
    <m/>
    <m/>
    <n v="4"/>
    <m/>
    <m/>
  </r>
  <r>
    <s v="Devon Energy"/>
    <x v="7"/>
    <x v="2"/>
    <n v="743"/>
    <n v="17"/>
    <n v="26"/>
    <n v="166.83333333333331"/>
    <n v="1001"/>
    <n v="223"/>
    <n v="25"/>
    <n v="4"/>
    <n v="66.166666666666657"/>
    <n v="397"/>
    <n v="232.99999999999997"/>
    <n v="1398"/>
    <n v="0.71602288984263229"/>
    <n v="0.74225774225774221"/>
    <n v="0.1018981018981019"/>
    <n v="0.15584415584415587"/>
    <n v="32"/>
    <n v="93"/>
    <n v="1837"/>
    <n v="2587"/>
    <n v="359"/>
    <n v="431.16666666666669"/>
    <n v="59.833333333333371"/>
    <n v="0.16113105924596061"/>
    <m/>
    <n v="-608"/>
    <n v="1451"/>
    <n v="1"/>
    <n v="0"/>
    <n v="844"/>
    <n v="12"/>
    <n v="11"/>
    <n v="0"/>
    <n v="0"/>
    <n v="23"/>
    <n v="26"/>
    <n v="70"/>
    <n v="0"/>
    <n v="0"/>
    <n v="96"/>
    <n v="1558"/>
    <n v="259.66666666666663"/>
    <n v="63"/>
    <n v="17"/>
    <n v="382"/>
    <n v="2548"/>
    <n v="3010"/>
    <n v="15090"/>
    <n v="989.5"/>
    <n v="5937"/>
    <n v="15.250126326427489"/>
    <n v="2.5416877210712481"/>
    <s v="Costs and adds include oil. Sales excluded. "/>
    <n v="997"/>
    <n v="0"/>
    <n v="145"/>
    <n v="145"/>
    <n v="68"/>
    <n v="0"/>
    <n v="38.901877347293407"/>
    <n v="0"/>
    <n v="258"/>
    <n v="258"/>
    <n v="437"/>
    <n v="0"/>
    <n v="250.00177059951793"/>
    <n v="6097"/>
    <n v="7631"/>
    <n v="0.57208643157784422"/>
    <n v="1688.9036479468114"/>
    <n v="10.123298589091778"/>
    <n v="1.687216431515296"/>
    <s v="Excludes asset retirement obligations and reduction of carrying value of oil and gas properties.See note 6 income taxes"/>
    <n v="4698.9036479468114"/>
    <n v="469.89036479468115"/>
    <n v="0.15610975574574124"/>
    <n v="2.8165256631049824"/>
    <n v="0.46942094385083033"/>
    <n v="18.041958041958043"/>
    <n v="3.0069930069930071"/>
    <n v="25.373424915519266"/>
    <n v="28.189950578624249"/>
    <n v="43.415382957477306"/>
    <n v="4.2289041525865443"/>
    <n v="4.6983250964373742"/>
    <n v="7.2358971595795509"/>
    <n v="4"/>
    <n v="2.5373424915519265"/>
    <n v="423.31330567391302"/>
  </r>
  <r>
    <s v="Devon Energy"/>
    <x v="7"/>
    <x v="3"/>
    <n v="716"/>
    <n v="16"/>
    <n v="28"/>
    <n v="163.33333333333331"/>
    <n v="980"/>
    <n v="214"/>
    <n v="25"/>
    <n v="4"/>
    <n v="64.666666666666657"/>
    <n v="388"/>
    <n v="227.99999999999997"/>
    <n v="1368"/>
    <n v="0.716374269005848"/>
    <n v="0.73061224489795917"/>
    <n v="9.7959183673469397E-2"/>
    <n v="0.17142857142857146"/>
    <n v="17"/>
    <n v="96"/>
    <n v="1785"/>
    <n v="2463"/>
    <n v="-124"/>
    <n v="410.5"/>
    <n v="-20.666666666666686"/>
    <n v="-4.7931967529957521E-2"/>
    <m/>
    <n v="530"/>
    <n v="1095"/>
    <n v="12"/>
    <n v="0"/>
    <n v="1637"/>
    <n v="9"/>
    <n v="20"/>
    <n v="0"/>
    <n v="0"/>
    <n v="29"/>
    <n v="30"/>
    <n v="68"/>
    <n v="0"/>
    <n v="0"/>
    <n v="98"/>
    <n v="2399"/>
    <n v="399.83333333333331"/>
    <n v="594"/>
    <n v="29"/>
    <n v="428"/>
    <n v="3423"/>
    <n v="4474"/>
    <n v="15294"/>
    <n v="1059"/>
    <n v="6354"/>
    <n v="14.441926345609065"/>
    <n v="2.4069877242681774"/>
    <s v="Costs and adds include oil. Sales excluded. "/>
    <n v="892"/>
    <n v="0"/>
    <n v="133"/>
    <n v="133"/>
    <n v="955"/>
    <n v="0"/>
    <n v="544.22236763632895"/>
    <n v="0"/>
    <n v="319"/>
    <n v="319"/>
    <n v="408"/>
    <n v="0"/>
    <n v="232.50547224672485"/>
    <n v="7262"/>
    <n v="9129"/>
    <n v="0.56986635354589421"/>
    <n v="2120.727839883054"/>
    <n v="12.984047999284005"/>
    <n v="2.1640079998806674"/>
    <s v="Excludes asset retirement obligations and reduction of carrying value of oil and gas properties.See note 6 income taxes"/>
    <n v="6594.727839883054"/>
    <n v="659.47278398830542"/>
    <n v="0.14740115869206649"/>
    <n v="4.0375884733977889"/>
    <n v="0.67293141223296471"/>
    <n v="27.391836734693882"/>
    <n v="4.5653061224489795"/>
    <n v="27.425974344893071"/>
    <n v="31.46356281829086"/>
    <n v="54.817811079586953"/>
    <n v="4.5709957241488448"/>
    <n v="5.2439271363818092"/>
    <n v="9.1363018465978243"/>
    <n v="4"/>
    <n v="2.7425974344893072"/>
    <n v="447.95758096658676"/>
  </r>
  <r>
    <s v="Devon Energy"/>
    <x v="7"/>
    <x v="4"/>
    <n v="740"/>
    <n v="17"/>
    <n v="33"/>
    <n v="173.33333333333331"/>
    <n v="1040"/>
    <n v="213"/>
    <n v="28"/>
    <n v="4"/>
    <n v="67.5"/>
    <n v="405"/>
    <n v="240.83333333333331"/>
    <n v="1445"/>
    <n v="0.7197231833910035"/>
    <n v="0.71153846153846156"/>
    <n v="9.8076923076923089E-2"/>
    <n v="0.1903846153846154"/>
    <n v="22"/>
    <n v="123"/>
    <n v="1550"/>
    <n v="2420"/>
    <n v="-43"/>
    <n v="403.33333333333331"/>
    <n v="-7.1666666666666856"/>
    <n v="-1.7458384084449902E-2"/>
    <m/>
    <n v="-244"/>
    <n v="1410"/>
    <n v="16"/>
    <n v="0"/>
    <n v="1182"/>
    <n v="1"/>
    <n v="36"/>
    <n v="0"/>
    <n v="0"/>
    <n v="37"/>
    <n v="5"/>
    <n v="102"/>
    <n v="2"/>
    <n v="0"/>
    <n v="109"/>
    <n v="2058"/>
    <n v="343"/>
    <n v="851"/>
    <n v="34"/>
    <n v="272"/>
    <n v="3748"/>
    <n v="4905"/>
    <n v="12389"/>
    <n v="1002.5"/>
    <n v="6015"/>
    <n v="12.358104738154614"/>
    <n v="2.059684123025769"/>
    <s v="Costs and adds include oil. Sales excluded. "/>
    <n v="925"/>
    <n v="0"/>
    <n v="132"/>
    <n v="132"/>
    <n v="-383"/>
    <n v="0"/>
    <n v="-216.96921974349132"/>
    <n v="0"/>
    <n v="357"/>
    <n v="357"/>
    <n v="414"/>
    <n v="0"/>
    <n v="234.53069705954414"/>
    <n v="8315"/>
    <n v="10564"/>
    <n v="0.56649926825976848"/>
    <n v="1431.5614773160528"/>
    <n v="8.2590085229772292"/>
    <n v="1.3765014204962045"/>
    <s v="Excludes asset retirement obligations and reduction of carrying value of oil and gas properties.See note 6 income taxes"/>
    <n v="6336.5614773160523"/>
    <n v="633.6561477316053"/>
    <n v="0.12918575896668813"/>
    <n v="3.6557085446054156"/>
    <n v="0.60928475743423582"/>
    <n v="28.298076923076927"/>
    <n v="4.7163461538461542"/>
    <n v="20.617113261131841"/>
    <n v="24.272821805737259"/>
    <n v="48.915190184208768"/>
    <n v="3.4361855435219733"/>
    <n v="4.0454703009562092"/>
    <n v="8.1525316973681274"/>
    <n v="4"/>
    <n v="2.0617113261131843"/>
    <n v="357.36329652628524"/>
  </r>
  <r>
    <s v="Devon Energy"/>
    <x v="7"/>
    <x v="5"/>
    <n v="752"/>
    <n v="21"/>
    <n v="36"/>
    <n v="182.33333333333331"/>
    <n v="1094"/>
    <n v="186"/>
    <n v="32"/>
    <n v="4"/>
    <n v="67"/>
    <n v="402"/>
    <n v="249.33333333333331"/>
    <n v="1496"/>
    <n v="0.73128342245989308"/>
    <n v="0.6873857404021938"/>
    <n v="0.11517367458866545"/>
    <n v="0.1974405850091408"/>
    <n v="39"/>
    <n v="140"/>
    <n v="1371"/>
    <n v="2445"/>
    <n v="25"/>
    <n v="407.5"/>
    <n v="4.1666666666666856"/>
    <n v="1.0330578512396741E-2"/>
    <m/>
    <n v="-1118"/>
    <n v="1124"/>
    <n v="2"/>
    <n v="0"/>
    <n v="8"/>
    <n v="-7"/>
    <n v="65"/>
    <n v="0"/>
    <n v="0"/>
    <n v="58"/>
    <n v="-32"/>
    <n v="114"/>
    <n v="0"/>
    <n v="0"/>
    <n v="82"/>
    <n v="848"/>
    <n v="141.33333333333334"/>
    <n v="1135"/>
    <n v="2"/>
    <n v="351"/>
    <n v="4013"/>
    <n v="5501"/>
    <n v="14880"/>
    <n v="884.16666666666663"/>
    <n v="5305"/>
    <n v="16.829406220546655"/>
    <n v="2.8049010367577756"/>
    <s v="Costs and adds include oil. Sales excluded. "/>
    <n v="1059"/>
    <n v="0"/>
    <n v="159"/>
    <n v="159"/>
    <n v="100"/>
    <n v="0"/>
    <n v="59.38771935576311"/>
    <n v="0"/>
    <n v="340"/>
    <n v="340"/>
    <n v="440"/>
    <n v="0"/>
    <n v="261.30596516535769"/>
    <n v="7153"/>
    <n v="8808"/>
    <n v="0.59387719355763113"/>
    <n v="1878.6936845211208"/>
    <n v="10.303621670134119"/>
    <n v="1.7172702783556864"/>
    <s v="Excludes asset retirement obligations and reduction of carrying value of oil and gas properties.See note 6 income taxes"/>
    <n v="7379.6936845211203"/>
    <n v="737.96936845211212"/>
    <n v="0.13415185756264536"/>
    <n v="4.0473639951669771"/>
    <n v="0.67456066586116281"/>
    <n v="30.170018281535651"/>
    <n v="5.0283363802559418"/>
    <n v="27.133027890680772"/>
    <n v="31.180391885847747"/>
    <n v="57.303046172216426"/>
    <n v="4.5221713151134617"/>
    <n v="5.1967319809746249"/>
    <n v="9.5505076953694044"/>
    <n v="4"/>
    <n v="2.7133027890680772"/>
    <n v="494.72554187341268"/>
  </r>
  <r>
    <s v="Devon Energy"/>
    <x v="7"/>
    <x v="6"/>
    <n v="709"/>
    <n v="28"/>
    <n v="41"/>
    <n v="187.16666666666669"/>
    <n v="1123"/>
    <n v="165"/>
    <n v="34"/>
    <n v="4"/>
    <n v="65.5"/>
    <n v="393"/>
    <n v="252.66666666666669"/>
    <n v="1516"/>
    <n v="0.74076517150395782"/>
    <n v="0.63134461264470165"/>
    <n v="0.14959928762243987"/>
    <n v="0.21905609973285839"/>
    <n v="35"/>
    <n v="84"/>
    <n v="843"/>
    <n v="1557"/>
    <n v="-888"/>
    <n v="259.5"/>
    <n v="-148"/>
    <n v="-0.36319018404907977"/>
    <m/>
    <n v="106"/>
    <n v="471"/>
    <n v="1"/>
    <n v="0"/>
    <n v="578"/>
    <n v="-17"/>
    <n v="69"/>
    <n v="1"/>
    <n v="0"/>
    <n v="53"/>
    <n v="-42"/>
    <n v="64"/>
    <n v="0"/>
    <n v="0"/>
    <n v="22"/>
    <n v="1028"/>
    <n v="171.33333333333331"/>
    <n v="213"/>
    <n v="19"/>
    <n v="443"/>
    <n v="3428"/>
    <n v="4103"/>
    <n v="14509"/>
    <n v="655.66666666666674"/>
    <n v="3934"/>
    <n v="22.1286222674123"/>
    <n v="3.6881037112353838"/>
    <s v="Costs and adds include oil. Sales excluded. "/>
    <n v="1257"/>
    <n v="0"/>
    <n v="125"/>
    <n v="125"/>
    <n v="13"/>
    <n v="0"/>
    <n v="7.7508887693839696"/>
    <n v="0"/>
    <n v="380"/>
    <n v="380"/>
    <n v="466"/>
    <n v="0"/>
    <n v="277.83955127176387"/>
    <n v="8522"/>
    <n v="10588"/>
    <n v="0.59622221302953615"/>
    <n v="2047.5904400411478"/>
    <n v="10.939931113309783"/>
    <n v="1.8233218522182972"/>
    <s v="Excludes asset retirement obligations and reduction of carrying value of oil and gas properties.See note 6 income taxes"/>
    <n v="6150.5904400411473"/>
    <n v="615.05904400411475"/>
    <n v="0.14990471460007671"/>
    <n v="3.2861569581698022"/>
    <n v="0.54769282636163374"/>
    <n v="21.921638468388245"/>
    <n v="3.6536064113980409"/>
    <n v="33.068553380722079"/>
    <n v="36.354710338891884"/>
    <n v="54.990191849110325"/>
    <n v="5.5114255634536811"/>
    <n v="6.0591183898153149"/>
    <n v="9.1650319748517219"/>
    <n v="4"/>
    <n v="3.3068553380722081"/>
    <n v="618.93309077584831"/>
  </r>
  <r>
    <s v="Devon Energy"/>
    <x v="7"/>
    <x v="7"/>
    <n v="660"/>
    <n v="48"/>
    <n v="50"/>
    <n v="208"/>
    <n v="1248"/>
    <n v="41"/>
    <n v="10"/>
    <n v="21"/>
    <n v="37.833333333333329"/>
    <n v="227"/>
    <n v="245.83333333333331"/>
    <n v="1475"/>
    <n v="0.84610169491525422"/>
    <n v="0.52884615384615385"/>
    <n v="0.23076923076923078"/>
    <n v="0.24038461538461539"/>
    <n v="96"/>
    <n v="92"/>
    <n v="703"/>
    <n v="1831"/>
    <n v="274"/>
    <n v="305.16666666666669"/>
    <n v="45.666666666666686"/>
    <n v="0.1759794476557483"/>
    <m/>
    <n v="-108"/>
    <n v="335"/>
    <n v="457"/>
    <n v="0"/>
    <n v="684"/>
    <n v="-39"/>
    <n v="94"/>
    <n v="132"/>
    <n v="0"/>
    <n v="187"/>
    <n v="9"/>
    <n v="47"/>
    <n v="57"/>
    <n v="0"/>
    <n v="113"/>
    <n v="2484"/>
    <n v="414"/>
    <n v="1176"/>
    <n v="5210"/>
    <n v="270"/>
    <n v="4400"/>
    <n v="11056"/>
    <n v="20660"/>
    <n v="726.66666666666663"/>
    <n v="4360"/>
    <n v="28.431192660550462"/>
    <n v="4.738532110091743"/>
    <m/>
    <n v="1559"/>
    <n v="0"/>
    <n v="153"/>
    <n v="153"/>
    <n v="899"/>
    <n v="0"/>
    <n v="428.85567213702808"/>
    <n v="0"/>
    <n v="466"/>
    <n v="466"/>
    <n v="532"/>
    <n v="0"/>
    <n v="253.78333434582751"/>
    <n v="9910"/>
    <n v="17577"/>
    <n v="0.47703634275531487"/>
    <n v="2860.6390064828556"/>
    <n v="13.75307214655219"/>
    <n v="2.2921786910920319"/>
    <m/>
    <n v="13916.639006482856"/>
    <n v="1391.6639006482856"/>
    <n v="0.12587408652752222"/>
    <n v="6.6906918300398344"/>
    <n v="1.1151153050066391"/>
    <n v="53.153846153846153"/>
    <n v="8.8589743589743595"/>
    <n v="42.18426480710265"/>
    <n v="48.874956637142482"/>
    <n v="95.338110960948796"/>
    <n v="7.0307108011837744"/>
    <n v="8.1458261061904143"/>
    <n v="15.889685160158134"/>
    <n v="4"/>
    <n v="4.2184264807102654"/>
    <n v="877.43270798773517"/>
  </r>
  <r>
    <s v="Devon Energy"/>
    <x v="7"/>
    <x v="8"/>
    <n v="579"/>
    <n v="60"/>
    <n v="50"/>
    <n v="206.5"/>
    <n v="1239"/>
    <n v="8"/>
    <n v="10"/>
    <n v="31"/>
    <n v="42.333333333333336"/>
    <n v="254"/>
    <n v="248.83333333333334"/>
    <n v="1493"/>
    <n v="0.82987273945077022"/>
    <n v="0.46731234866828086"/>
    <n v="0.29055690072639223"/>
    <n v="0.24213075060532688"/>
    <n v="39"/>
    <n v="17"/>
    <n v="114"/>
    <n v="450"/>
    <n v="-1381"/>
    <n v="75"/>
    <n v="-230.16666666666669"/>
    <n v="-0.75423265974877118"/>
    <m/>
    <n v="-1415"/>
    <n v="171"/>
    <n v="17"/>
    <n v="0"/>
    <n v="-1227"/>
    <n v="-105"/>
    <n v="51"/>
    <n v="5"/>
    <n v="0"/>
    <n v="-49"/>
    <n v="-125"/>
    <n v="24"/>
    <n v="1"/>
    <n v="0"/>
    <n v="-100"/>
    <n v="-2121"/>
    <n v="-353.5"/>
    <n v="634"/>
    <n v="193"/>
    <n v="478"/>
    <n v="3269"/>
    <n v="4574"/>
    <n v="19733"/>
    <n v="231.83333333333326"/>
    <n v="1391"/>
    <n v="85.117181883537057"/>
    <n v="14.186196980589504"/>
    <m/>
    <n v="1551"/>
    <n v="0"/>
    <n v="196"/>
    <n v="196"/>
    <n v="-279"/>
    <n v="0"/>
    <n v="-98.569739626562921"/>
    <n v="0"/>
    <n v="309"/>
    <n v="309"/>
    <n v="565"/>
    <n v="0"/>
    <n v="199.61255515773496"/>
    <n v="5382"/>
    <n v="12642"/>
    <n v="0.35329655780130081"/>
    <n v="2157.042815531172"/>
    <n v="10.445727920247807"/>
    <n v="1.7409546533746343"/>
    <m/>
    <n v="6731.042815531172"/>
    <n v="673.10428155311729"/>
    <n v="0.14715878477330943"/>
    <n v="3.2595848985623115"/>
    <n v="0.54326414976038517"/>
    <n v="22.150121065375302"/>
    <n v="3.691686844229217"/>
    <n v="95.562909803784862"/>
    <n v="98.822494702347171"/>
    <n v="117.71303086916016"/>
    <n v="15.927151633964138"/>
    <n v="16.470415783724523"/>
    <n v="19.618838478193354"/>
    <n v="4"/>
    <n v="9.5562909803784866"/>
    <n v="1973.3740874481575"/>
  </r>
  <r>
    <s v="Devon Energy"/>
    <x v="7"/>
    <x v="9"/>
    <n v="510"/>
    <n v="47"/>
    <n v="42"/>
    <n v="174"/>
    <n v="1044"/>
    <n v="7"/>
    <n v="8"/>
    <n v="40"/>
    <n v="49.166666666666664"/>
    <n v="295"/>
    <n v="223.16666666666666"/>
    <n v="1339"/>
    <n v="0.77968633308439139"/>
    <n v="0.4885057471264368"/>
    <n v="0.27011494252873564"/>
    <n v="0.2413793103448276"/>
    <n v="34"/>
    <n v="38"/>
    <n v="254"/>
    <n v="686"/>
    <n v="236"/>
    <n v="114.33333333333334"/>
    <n v="39.333333333333343"/>
    <n v="0.5244444444444446"/>
    <m/>
    <n v="525"/>
    <n v="280"/>
    <n v="33"/>
    <n v="0"/>
    <n v="838"/>
    <n v="-20"/>
    <n v="36"/>
    <n v="8"/>
    <n v="0"/>
    <n v="24"/>
    <n v="35"/>
    <n v="42"/>
    <n v="7"/>
    <n v="0"/>
    <n v="84"/>
    <n v="1486"/>
    <n v="247.66666666666666"/>
    <n v="1356"/>
    <n v="237"/>
    <n v="345"/>
    <n v="1034"/>
    <n v="2972"/>
    <n v="18602"/>
    <n v="308.16666666666663"/>
    <n v="1849"/>
    <n v="60.363439697133593"/>
    <n v="10.060573282855598"/>
    <m/>
    <n v="1123"/>
    <n v="0"/>
    <n v="148"/>
    <n v="148"/>
    <n v="-159"/>
    <n v="0"/>
    <n v="-49.352029600044652"/>
    <n v="0"/>
    <n v="200"/>
    <n v="200"/>
    <n v="488"/>
    <n v="0"/>
    <n v="151.47038015611187"/>
    <n v="4182"/>
    <n v="10505"/>
    <m/>
    <n v="1573.1183505560673"/>
    <n v="9.0409100606670538"/>
    <n v="1.5068183434445088"/>
    <m/>
    <n v="4545.1183505560675"/>
    <n v="454.51183505560675"/>
    <n v="0.15293130385451101"/>
    <n v="2.6121369830781997"/>
    <n v="0.43535616384636661"/>
    <n v="106.9080459770115"/>
    <n v="17.81800766283525"/>
    <n v="69.404349757800645"/>
    <n v="72.016486740878847"/>
    <n v="176.31239573481213"/>
    <n v="11.567391626300108"/>
    <n v="12.002747790146474"/>
    <n v="29.385399289135357"/>
    <n v="4"/>
    <n v="6.9404349757800645"/>
    <n v="1207.6356857857313"/>
  </r>
  <r>
    <s v="Encana"/>
    <x v="8"/>
    <x v="0"/>
    <n v="491"/>
    <n v="5.2"/>
    <n v="0"/>
    <n v="87.033333333333331"/>
    <n v="522.20000000000005"/>
    <n v="811"/>
    <n v="33"/>
    <n v="0"/>
    <n v="168.16666666666666"/>
    <n v="1009"/>
    <n v="255.2"/>
    <n v="1531.2"/>
    <n v="0.34103970741901779"/>
    <n v="0.94025277671390262"/>
    <n v="5.9747223286097287E-2"/>
    <n v="0"/>
    <n v="21.3"/>
    <n v="0"/>
    <n v="2640"/>
    <n v="2767.8"/>
    <m/>
    <n v="461.3"/>
    <m/>
    <m/>
    <m/>
    <n v="78"/>
    <n v="827"/>
    <n v="211"/>
    <n v="0"/>
    <n v="1116"/>
    <n v="3.6"/>
    <n v="5.9"/>
    <n v="0"/>
    <n v="0"/>
    <n v="9.5"/>
    <n v="0"/>
    <n v="0"/>
    <n v="0"/>
    <n v="0"/>
    <n v="0"/>
    <n v="1173"/>
    <n v="195.5"/>
    <n v="1048"/>
    <n v="1565"/>
    <n v="48"/>
    <n v="1887"/>
    <n v="4548"/>
    <m/>
    <m/>
    <m/>
    <m/>
    <m/>
    <s v="Costs and adds include oil. Sales excluded. "/>
    <m/>
    <m/>
    <m/>
    <m/>
    <m/>
    <m/>
    <m/>
    <m/>
    <m/>
    <m/>
    <m/>
    <m/>
    <m/>
    <n v="0"/>
    <n v="0"/>
    <m/>
    <m/>
    <m/>
    <m/>
    <m/>
    <m/>
    <m/>
    <m/>
    <m/>
    <m/>
    <m/>
    <m/>
    <m/>
    <m/>
    <m/>
    <m/>
    <m/>
    <m/>
    <n v="4"/>
    <m/>
    <m/>
  </r>
  <r>
    <s v="Encana"/>
    <x v="8"/>
    <x v="1"/>
    <n v="598"/>
    <n v="4.9000000000000004"/>
    <n v="0"/>
    <n v="104.56666666666668"/>
    <n v="627.4"/>
    <n v="807"/>
    <n v="32"/>
    <n v="0"/>
    <n v="166.5"/>
    <n v="999"/>
    <n v="271.06666666666666"/>
    <n v="1626.4"/>
    <n v="0.38575996064928675"/>
    <n v="0.95313994262033797"/>
    <n v="4.6860057379662097E-2"/>
    <n v="0"/>
    <n v="17.7"/>
    <n v="0"/>
    <n v="2111"/>
    <n v="2217.1999999999998"/>
    <n v="-550.60000000000036"/>
    <n v="369.5333333333333"/>
    <n v="-91.766666666666708"/>
    <n v="-0.19893055856637049"/>
    <m/>
    <n v="-166"/>
    <n v="655"/>
    <n v="7"/>
    <n v="0"/>
    <n v="496"/>
    <n v="-3.6"/>
    <n v="3.8"/>
    <n v="0"/>
    <n v="0"/>
    <n v="0.19999999999999973"/>
    <n v="0"/>
    <n v="0"/>
    <n v="0"/>
    <n v="0"/>
    <n v="0"/>
    <n v="497.2"/>
    <n v="82.866666666666674"/>
    <n v="1006"/>
    <n v="17"/>
    <n v="197"/>
    <n v="2485"/>
    <n v="3705"/>
    <m/>
    <m/>
    <m/>
    <m/>
    <m/>
    <s v="Costs and adds include oil. Sales excluded. "/>
    <m/>
    <m/>
    <m/>
    <m/>
    <m/>
    <m/>
    <m/>
    <m/>
    <m/>
    <m/>
    <m/>
    <m/>
    <m/>
    <n v="0"/>
    <n v="0"/>
    <m/>
    <m/>
    <m/>
    <m/>
    <m/>
    <m/>
    <m/>
    <m/>
    <m/>
    <m/>
    <m/>
    <m/>
    <m/>
    <m/>
    <m/>
    <m/>
    <m/>
    <m/>
    <n v="4"/>
    <m/>
    <m/>
  </r>
  <r>
    <s v="Encana"/>
    <x v="8"/>
    <x v="2"/>
    <n v="590"/>
    <n v="4.0999999999999996"/>
    <n v="0"/>
    <n v="102.43333333333332"/>
    <n v="614.6"/>
    <n v="725"/>
    <n v="27.2"/>
    <n v="0"/>
    <n v="148.03333333333333"/>
    <n v="888.2"/>
    <n v="250.46666666666664"/>
    <n v="1502.8000000000002"/>
    <n v="0.40896992281075323"/>
    <n v="0.95997396680767977"/>
    <n v="4.0026033192320211E-2"/>
    <n v="0"/>
    <n v="15.4"/>
    <n v="0"/>
    <n v="2142"/>
    <n v="2234.4"/>
    <n v="17.200000000000273"/>
    <n v="372.4"/>
    <n v="2.8666666666666742"/>
    <n v="7.7575320223705786E-3"/>
    <m/>
    <n v="-845"/>
    <n v="1406"/>
    <n v="0"/>
    <n v="0"/>
    <n v="561"/>
    <n v="-12.6"/>
    <n v="6.5"/>
    <n v="0"/>
    <n v="0"/>
    <n v="-6.1"/>
    <n v="0"/>
    <n v="0"/>
    <n v="0"/>
    <n v="0"/>
    <n v="0"/>
    <n v="524.4"/>
    <n v="87.4"/>
    <n v="46"/>
    <n v="0"/>
    <n v="133"/>
    <n v="1688"/>
    <n v="1867"/>
    <n v="10120"/>
    <n v="365.76666666666665"/>
    <n v="2194.6"/>
    <n v="27.667912147999637"/>
    <n v="4.6113186913332731"/>
    <s v="Costs and adds include oil. Sales excluded. "/>
    <n v="964"/>
    <n v="477"/>
    <n v="0"/>
    <n v="195.0786531807293"/>
    <n v="766"/>
    <n v="0"/>
    <n v="313.27096087303704"/>
    <n v="0"/>
    <n v="118"/>
    <n v="118"/>
    <n v="533"/>
    <n v="0"/>
    <n v="217.98096885813149"/>
    <n v="12122"/>
    <n v="12122"/>
    <n v="0.40896992281075328"/>
    <n v="1808.3305829118979"/>
    <n v="17.653731691297409"/>
    <n v="2.9422886152162344"/>
    <s v="Excludes asset retirement obligations accretions"/>
    <n v="3675.3305829118981"/>
    <n v="367.53305829118983"/>
    <n v="0.19685755666373317"/>
    <n v="3.588022046448323"/>
    <n v="0.59800367440805369"/>
    <n v="18.226488773185814"/>
    <n v="3.037748128864302"/>
    <n v="45.321643839297046"/>
    <n v="48.909665885745369"/>
    <n v="63.54813261248286"/>
    <n v="7.5536073065495071"/>
    <n v="8.1516109809575603"/>
    <n v="10.59135543541381"/>
    <n v="4"/>
    <n v="4.5321643839297048"/>
    <n v="464.24470506053274"/>
  </r>
  <r>
    <s v="Encana"/>
    <x v="8"/>
    <x v="3"/>
    <n v="679"/>
    <n v="3.5"/>
    <n v="0"/>
    <n v="116.66666666666667"/>
    <n v="700"/>
    <n v="483"/>
    <n v="4.8"/>
    <n v="0"/>
    <n v="85.3"/>
    <n v="511.8"/>
    <n v="201.96666666666667"/>
    <n v="1211.8"/>
    <n v="0.57765307806568744"/>
    <n v="0.97"/>
    <n v="0.03"/>
    <n v="0"/>
    <n v="14.2"/>
    <n v="0"/>
    <n v="3505"/>
    <n v="3590.2"/>
    <n v="1355.7999999999997"/>
    <n v="598.36666666666667"/>
    <n v="225.9666666666667"/>
    <n v="0.60678481919083438"/>
    <m/>
    <n v="517"/>
    <n v="1808"/>
    <n v="81"/>
    <n v="0"/>
    <n v="2406"/>
    <n v="0.2"/>
    <n v="4.7"/>
    <n v="0.5"/>
    <n v="0"/>
    <n v="5.4"/>
    <n v="0"/>
    <n v="0"/>
    <n v="0"/>
    <n v="0"/>
    <n v="0"/>
    <n v="2438.4"/>
    <n v="406.4"/>
    <n v="97"/>
    <n v="44"/>
    <n v="198"/>
    <n v="2301"/>
    <n v="2640"/>
    <n v="8212"/>
    <n v="576.66666666666663"/>
    <n v="3460"/>
    <n v="14.240462427745666"/>
    <n v="2.3734104046242774"/>
    <s v="Costs and adds include oil. Sales excluded. "/>
    <n v="1130"/>
    <n v="361"/>
    <n v="0"/>
    <n v="208.53276118171317"/>
    <n v="2024"/>
    <n v="0"/>
    <n v="1169.1698300049513"/>
    <n v="0"/>
    <n v="209"/>
    <n v="209"/>
    <n v="485"/>
    <n v="0"/>
    <n v="280.16174286185839"/>
    <n v="7104"/>
    <n v="7104"/>
    <n v="0.57765307806568744"/>
    <n v="2996.8643340485228"/>
    <n v="25.687408577558767"/>
    <n v="4.2812347629264611"/>
    <s v="Excludes asset retirement obligations accretions"/>
    <n v="5636.8643340485232"/>
    <n v="563.68643340485232"/>
    <n v="0.21351758841092891"/>
    <n v="4.8315980006130195"/>
    <n v="0.80526633343550336"/>
    <n v="22.628571428571426"/>
    <n v="3.7714285714285714"/>
    <n v="39.927871005304432"/>
    <n v="44.759469005917452"/>
    <n v="62.556442433875858"/>
    <n v="6.6546451675507381"/>
    <n v="7.4599115009862418"/>
    <n v="10.426073738979309"/>
    <n v="4"/>
    <n v="3.9927871005304434"/>
    <n v="465.82516172855173"/>
  </r>
  <r>
    <s v="Encana"/>
    <x v="8"/>
    <x v="4"/>
    <n v="685"/>
    <n v="3.5"/>
    <n v="0"/>
    <n v="117.66666666666667"/>
    <n v="706"/>
    <n v="531"/>
    <n v="5.3"/>
    <n v="0"/>
    <n v="93.8"/>
    <n v="562.79999999999995"/>
    <n v="211.46666666666667"/>
    <n v="1268.8"/>
    <n v="0.55643127364438838"/>
    <n v="0.97025495750708213"/>
    <n v="2.9745042492917845E-2"/>
    <n v="0"/>
    <n v="13.8"/>
    <n v="0"/>
    <n v="3225"/>
    <n v="3307.8"/>
    <n v="-282.39999999999964"/>
    <n v="551.29999999999995"/>
    <n v="-47.06666666666672"/>
    <n v="-7.8658570553172616E-2"/>
    <m/>
    <n v="-204"/>
    <n v="1121"/>
    <n v="23"/>
    <n v="0"/>
    <n v="940"/>
    <n v="-0.7"/>
    <n v="5.4"/>
    <n v="0.3"/>
    <n v="0"/>
    <n v="5"/>
    <n v="0"/>
    <n v="0"/>
    <n v="0"/>
    <n v="0"/>
    <n v="0"/>
    <n v="970"/>
    <n v="161.66666666666666"/>
    <n v="53"/>
    <n v="52"/>
    <n v="181"/>
    <n v="2242"/>
    <n v="2528"/>
    <n v="7035"/>
    <n v="655.46666666666658"/>
    <n v="3932.8"/>
    <n v="10.732811228641173"/>
    <n v="1.7888018714401952"/>
    <s v="Costs and adds include oil. Sales excluded. "/>
    <n v="1172"/>
    <n v="350"/>
    <n v="0"/>
    <n v="194.75094577553594"/>
    <n v="-88"/>
    <n v="0"/>
    <n v="-48.965952080706174"/>
    <n v="0"/>
    <n v="183"/>
    <n v="183"/>
    <n v="488"/>
    <n v="0"/>
    <n v="271.53846153846155"/>
    <n v="6894"/>
    <n v="6894"/>
    <n v="0.55643127364438838"/>
    <n v="1772.3234552332913"/>
    <n v="15.062238996316923"/>
    <n v="2.5103731660528203"/>
    <s v="Excludes asset retirement obligations accretions"/>
    <n v="4300.3234552332915"/>
    <n v="430.03234552332918"/>
    <n v="0.17010773161524098"/>
    <n v="3.6546658259773017"/>
    <n v="0.60911097099621703"/>
    <n v="21.48441926345609"/>
    <n v="3.5807365439093486"/>
    <n v="25.795050224958096"/>
    <n v="29.449716050935397"/>
    <n v="47.279469488414186"/>
    <n v="4.2991750374930158"/>
    <n v="4.9082860084892328"/>
    <n v="7.8799115814023644"/>
    <n v="4"/>
    <n v="2.5795050224958098"/>
    <n v="303.52175764700695"/>
  </r>
  <r>
    <s v="Encana"/>
    <x v="8"/>
    <x v="5"/>
    <n v="593"/>
    <n v="3.8"/>
    <n v="0.4"/>
    <n v="103.03333333333333"/>
    <n v="618.19999999999993"/>
    <n v="497"/>
    <n v="2.6"/>
    <n v="4.5"/>
    <n v="89.933333333333323"/>
    <n v="539.6"/>
    <n v="192.96666666666664"/>
    <n v="1157.8"/>
    <n v="0.53394368630160649"/>
    <n v="0.95923649304432235"/>
    <n v="3.6881268197994178E-2"/>
    <n v="3.8822387576835978E-3"/>
    <n v="65.3"/>
    <n v="0"/>
    <n v="1614"/>
    <n v="2005.8"/>
    <n v="-1302.0000000000002"/>
    <n v="334.3"/>
    <n v="-216.99999999999994"/>
    <n v="-0.39361509160166869"/>
    <m/>
    <n v="-1701"/>
    <n v="338"/>
    <n v="8"/>
    <n v="0"/>
    <n v="-1355"/>
    <n v="38.9"/>
    <n v="39.200000000000003"/>
    <n v="0.1"/>
    <n v="0"/>
    <n v="78.199999999999989"/>
    <n v="0"/>
    <n v="0"/>
    <n v="0"/>
    <n v="0"/>
    <n v="0"/>
    <n v="-885.80000000000007"/>
    <n v="-147.63333333333335"/>
    <n v="235"/>
    <n v="5"/>
    <n v="633"/>
    <n v="1094"/>
    <n v="1967"/>
    <n v="7135"/>
    <n v="420.43333333333328"/>
    <n v="2522.6"/>
    <n v="16.970585903432969"/>
    <n v="2.8284309839054944"/>
    <s v="Costs and adds include oil. Sales excluded. "/>
    <n v="1029"/>
    <n v="392"/>
    <n v="0"/>
    <n v="209.30592503022973"/>
    <n v="-124"/>
    <n v="0"/>
    <n v="-66.209017101399212"/>
    <n v="0"/>
    <n v="96"/>
    <n v="96"/>
    <n v="474"/>
    <n v="0"/>
    <n v="253.08930730696147"/>
    <n v="6125"/>
    <n v="6125"/>
    <n v="0.53394368630160649"/>
    <n v="1521.1862152357919"/>
    <n v="14.764020206106036"/>
    <n v="2.4606700343510064"/>
    <s v="Excludes asset retirement obligations accretions"/>
    <n v="3488.1862152357917"/>
    <n v="348.81862152357917"/>
    <n v="0.17733534393674588"/>
    <n v="3.3854929297015124"/>
    <n v="0.56424882161691881"/>
    <n v="19.09090909090909"/>
    <n v="3.1818181818181821"/>
    <n v="31.734606109539005"/>
    <n v="35.120099039240515"/>
    <n v="50.825515200448095"/>
    <n v="5.2891010182565008"/>
    <n v="5.8533498398734194"/>
    <n v="8.4709192000746825"/>
    <n v="4"/>
    <n v="3.1734606109539003"/>
    <n v="326.97222494861688"/>
  </r>
  <r>
    <s v="Encana"/>
    <x v="8"/>
    <x v="6"/>
    <n v="491"/>
    <n v="5.0999999999999996"/>
    <n v="3.5"/>
    <n v="90.433333333333323"/>
    <n v="542.6"/>
    <n v="523"/>
    <n v="4.3"/>
    <n v="6.8"/>
    <n v="98.266666666666666"/>
    <n v="589.59999999999991"/>
    <n v="188.7"/>
    <n v="1132.1999999999998"/>
    <n v="0.47924394983218521"/>
    <n v="0.90490232215259858"/>
    <n v="5.6395134537412461E-2"/>
    <n v="3.8702543309988943E-2"/>
    <n v="23.4"/>
    <n v="32"/>
    <n v="1258"/>
    <n v="1590.4"/>
    <n v="-415.39999999999986"/>
    <n v="265.06666666666666"/>
    <n v="-69.233333333333348"/>
    <n v="-0.20709941170605248"/>
    <m/>
    <n v="-362"/>
    <n v="482"/>
    <n v="7"/>
    <n v="0"/>
    <n v="127"/>
    <n v="-17.3"/>
    <n v="27.6"/>
    <n v="0.6"/>
    <n v="0"/>
    <n v="10.9"/>
    <n v="0"/>
    <n v="0"/>
    <n v="0"/>
    <n v="0"/>
    <n v="0"/>
    <n v="192.4"/>
    <n v="32.06666666666667"/>
    <n v="111"/>
    <n v="45"/>
    <n v="412"/>
    <n v="871"/>
    <n v="1439"/>
    <n v="5934"/>
    <n v="46.099999999999973"/>
    <n v="276.59999999999991"/>
    <n v="128.72017353579184"/>
    <n v="21.453362255965299"/>
    <s v="Costs and adds include oil. Sales excluded. "/>
    <n v="1139"/>
    <n v="439"/>
    <n v="0"/>
    <n v="210.38809397632932"/>
    <n v="-186"/>
    <n v="0"/>
    <n v="-89.139374668786445"/>
    <n v="0"/>
    <n v="113"/>
    <n v="113"/>
    <n v="460"/>
    <n v="0"/>
    <n v="220.45221692280521"/>
    <n v="5726"/>
    <n v="5726"/>
    <n v="0.47924394983218521"/>
    <n v="1593.7009362303479"/>
    <n v="17.622937002178563"/>
    <n v="2.9371561670297601"/>
    <s v="Excludes asset retirement obligations accretions"/>
    <n v="3032.7009362303479"/>
    <n v="303.27009362303482"/>
    <n v="0.21075058625645227"/>
    <n v="3.3535211237342595"/>
    <n v="0.55892018728904314"/>
    <n v="15.912274235164027"/>
    <n v="2.6520457058606706"/>
    <n v="146.3431105379704"/>
    <n v="149.69663166170466"/>
    <n v="162.25538477313444"/>
    <n v="24.390518422995058"/>
    <n v="24.949438610284101"/>
    <n v="27.04256412885573"/>
    <n v="4"/>
    <n v="14.63431105379704"/>
    <n v="1323.4295296317121"/>
  </r>
  <r>
    <s v="Encana"/>
    <x v="8"/>
    <x v="7"/>
    <n v="355"/>
    <n v="13.1"/>
    <n v="5"/>
    <n v="77.266666666666666"/>
    <n v="463.6"/>
    <n v="503"/>
    <n v="5"/>
    <n v="8.6"/>
    <n v="97.433333333333323"/>
    <n v="584.6"/>
    <n v="174.7"/>
    <n v="1048.2"/>
    <n v="0.44228200725052469"/>
    <n v="0.76574633304572903"/>
    <n v="0.16954270923209663"/>
    <n v="6.4710957722174292E-2"/>
    <n v="81.8"/>
    <n v="36.799999999999997"/>
    <n v="660"/>
    <n v="1371.6"/>
    <n v="-218.80000000000018"/>
    <n v="228.6"/>
    <n v="-36.466666666666669"/>
    <n v="-0.13757545271629779"/>
    <m/>
    <n v="-511"/>
    <n v="493"/>
    <n v="234"/>
    <n v="0"/>
    <n v="216"/>
    <n v="-2.7"/>
    <n v="21.4"/>
    <n v="148.19999999999999"/>
    <n v="0"/>
    <n v="166.89999999999998"/>
    <n v="-2.6"/>
    <n v="8.8000000000000007"/>
    <n v="52.9"/>
    <n v="0"/>
    <n v="59.1"/>
    <n v="1572"/>
    <n v="262"/>
    <n v="5452"/>
    <n v="5008"/>
    <n v="38"/>
    <n v="1247"/>
    <n v="11745"/>
    <n v="15151"/>
    <n v="146.43333333333331"/>
    <n v="878.59999999999991"/>
    <n v="103.4668791258821"/>
    <n v="17.244479854313681"/>
    <s v=" In 2014, Unproved includes $5,338 million from the acquisition of Athlon._x000a_ In 2014, Unproved includes $5,338 million from the acquisition of Athlon._x000a_2014, Unproved includes $5,338 million and Proved includes $2,127 million from the acquisition of Athlon"/>
    <n v="984"/>
    <n v="327"/>
    <n v="0"/>
    <n v="144.62621637092158"/>
    <n v="43"/>
    <n v="0"/>
    <n v="19.018126311772562"/>
    <n v="0"/>
    <n v="146"/>
    <n v="146"/>
    <n v="509"/>
    <n v="0"/>
    <n v="225.12154169051706"/>
    <n v="6212"/>
    <n v="6212"/>
    <n v="0.44228200725052469"/>
    <n v="1518.7658843732111"/>
    <n v="19.656158986711102"/>
    <n v="3.2760264977851832"/>
    <m/>
    <n v="13263.765884373212"/>
    <n v="1326.3765884373213"/>
    <n v="0.11293116972646414"/>
    <n v="17.166219867609854"/>
    <n v="2.8610366446016422"/>
    <n v="152.00603968938739"/>
    <n v="25.334339948231232"/>
    <n v="123.12303811259321"/>
    <n v="140.28925798020305"/>
    <n v="275.1290778019806"/>
    <n v="20.520506352098863"/>
    <n v="23.381542996700507"/>
    <n v="45.854846300330095"/>
    <n v="4"/>
    <n v="12.312303811259321"/>
    <n v="951.33067448330348"/>
  </r>
  <r>
    <s v="Encana"/>
    <x v="8"/>
    <x v="8"/>
    <n v="241"/>
    <n v="29.7"/>
    <n v="8.6"/>
    <n v="78.466666666666654"/>
    <n v="470.79999999999995"/>
    <n v="354"/>
    <n v="2"/>
    <n v="8.3000000000000007"/>
    <n v="69.3"/>
    <n v="415.8"/>
    <n v="147.76666666666665"/>
    <n v="886.59999999999991"/>
    <n v="0.53101736972704716"/>
    <n v="0.51189464740866619"/>
    <n v="0.3785046728971963"/>
    <n v="0.10960067969413766"/>
    <n v="66.3"/>
    <n v="24"/>
    <n v="184"/>
    <n v="725.8"/>
    <n v="-645.79999999999995"/>
    <n v="120.96666666666667"/>
    <n v="-107.63333333333333"/>
    <n v="-0.47083697871099445"/>
    <m/>
    <n v="-342"/>
    <n v="159"/>
    <n v="0"/>
    <n v="0"/>
    <n v="-183"/>
    <n v="-73.599999999999994"/>
    <n v="68.400000000000006"/>
    <n v="0"/>
    <n v="0"/>
    <n v="-5.1999999999999886"/>
    <n v="-41.1"/>
    <n v="24.9"/>
    <n v="0"/>
    <n v="0"/>
    <n v="-16.200000000000003"/>
    <n v="-311.39999999999998"/>
    <n v="-51.899999999999991"/>
    <n v="15"/>
    <n v="12"/>
    <n v="3"/>
    <n v="1844"/>
    <n v="1874"/>
    <n v="15058"/>
    <n v="242.16666666666669"/>
    <n v="1453"/>
    <n v="62.180316586373017"/>
    <n v="10.363386097728837"/>
    <m/>
    <n v="1099"/>
    <n v="275"/>
    <n v="0"/>
    <n v="146.02977667493798"/>
    <n v="-105"/>
    <n v="0"/>
    <n v="-55.75682382133995"/>
    <n v="0"/>
    <n v="116"/>
    <n v="116"/>
    <n v="497"/>
    <n v="0"/>
    <n v="263.91563275434243"/>
    <n v="4313"/>
    <n v="4313"/>
    <n v="0.53101736972704716"/>
    <n v="1569.1885856079405"/>
    <n v="19.998155296617767"/>
    <n v="3.3330258827696273"/>
    <m/>
    <n v="3443.1885856079407"/>
    <n v="344.31885856079407"/>
    <n v="0.18373471641451125"/>
    <n v="4.3880908057875203"/>
    <n v="0.73134846763125338"/>
    <n v="23.882752761257439"/>
    <n v="3.9804587935429061"/>
    <n v="82.178471882990777"/>
    <n v="86.566562688778305"/>
    <n v="106.06122464424821"/>
    <n v="13.696411980498464"/>
    <n v="14.427760448129717"/>
    <n v="17.676870774041369"/>
    <n v="4"/>
    <n v="8.2178471882990785"/>
    <n v="644.8270760418676"/>
  </r>
  <r>
    <s v="Encana"/>
    <x v="8"/>
    <x v="9"/>
    <n v="153"/>
    <n v="26.2"/>
    <n v="8.5"/>
    <n v="60.2"/>
    <n v="361.2"/>
    <n v="354"/>
    <n v="0.7"/>
    <n v="9.1999999999999993"/>
    <n v="68.900000000000006"/>
    <n v="413.4"/>
    <n v="129.10000000000002"/>
    <n v="774.59999999999991"/>
    <n v="0.46630518977536795"/>
    <n v="0.42358803986710963"/>
    <n v="0.43521594684385378"/>
    <n v="0.14119601328903653"/>
    <n v="73.099999999999994"/>
    <n v="68.400000000000006"/>
    <n v="142"/>
    <n v="991"/>
    <n v="265.20000000000005"/>
    <n v="165.16666666666666"/>
    <n v="44.199999999999989"/>
    <n v="0.36538991457701836"/>
    <m/>
    <n v="177"/>
    <n v="91"/>
    <n v="16"/>
    <n v="0"/>
    <n v="284"/>
    <n v="-15.6"/>
    <n v="52.2"/>
    <n v="9.6"/>
    <n v="0"/>
    <n v="46.2"/>
    <n v="-1.6"/>
    <n v="17.7"/>
    <n v="2.6"/>
    <n v="0"/>
    <n v="18.7"/>
    <n v="673.40000000000009"/>
    <n v="112.23333333333333"/>
    <n v="4"/>
    <n v="205"/>
    <n v="13"/>
    <n v="860"/>
    <n v="1082"/>
    <n v="14701"/>
    <n v="322.33333333333337"/>
    <n v="1934"/>
    <n v="45.608066184074453"/>
    <n v="7.6013443640124096"/>
    <m/>
    <n v="654"/>
    <n v="309"/>
    <n v="0"/>
    <n v="144.08830364058869"/>
    <n v="-19"/>
    <n v="0"/>
    <n v="-8.8597986057319904"/>
    <n v="0"/>
    <n v="76"/>
    <n v="76"/>
    <n v="296"/>
    <n v="0"/>
    <n v="138.02633617350892"/>
    <n v="2837"/>
    <n v="2837"/>
    <n v="0.46630518977536795"/>
    <n v="1003.2548412083656"/>
    <n v="16.665362810770194"/>
    <n v="2.777560468461699"/>
    <m/>
    <n v="2085.2548412083656"/>
    <n v="208.52548412083658"/>
    <n v="0.19272225889171588"/>
    <n v="3.4638784737680495"/>
    <n v="0.57731307896134165"/>
    <n v="17.973421926910298"/>
    <n v="2.9955703211517166"/>
    <n v="62.27342899484465"/>
    <n v="65.737307468612698"/>
    <n v="80.246850921754941"/>
    <n v="10.37890483247411"/>
    <n v="10.956217911435452"/>
    <n v="13.374475153625827"/>
    <n v="4"/>
    <n v="6.2273428994844648"/>
    <n v="374.88604254896478"/>
  </r>
  <r>
    <s v="EOG Resources"/>
    <x v="9"/>
    <x v="0"/>
    <n v="360.6"/>
    <n v="13.042999999999999"/>
    <n v="0"/>
    <n v="73.143000000000001"/>
    <n v="438.858"/>
    <n v="181.99999999999997"/>
    <n v="2.6558999999999999"/>
    <n v="0"/>
    <n v="32.989233333333331"/>
    <n v="197.93539999999996"/>
    <n v="106.13223333333333"/>
    <n v="636.79340000000002"/>
    <n v="0.68916857492555672"/>
    <n v="0.82167808265999487"/>
    <n v="0.17832191734000519"/>
    <n v="0"/>
    <n v="40.072000000000003"/>
    <n v="0"/>
    <n v="1078.3"/>
    <n v="1318.732"/>
    <m/>
    <n v="219.78866666666667"/>
    <m/>
    <m/>
    <m/>
    <n v="-63.2"/>
    <n v="1177.5"/>
    <n v="1.2"/>
    <n v="0"/>
    <n v="1115.5"/>
    <n v="27.933"/>
    <n v="49.417999999999999"/>
    <n v="3.6999999999999998E-2"/>
    <n v="0"/>
    <n v="77.388000000000005"/>
    <n v="0"/>
    <n v="0"/>
    <n v="0"/>
    <n v="0"/>
    <n v="0"/>
    <n v="1579.828"/>
    <n v="263.30466666666666"/>
    <n v="233.33699999999999"/>
    <n v="3.887"/>
    <n v="435.94400000000002"/>
    <n v="2336.2579999999998"/>
    <n v="3009.4259999999999"/>
    <m/>
    <m/>
    <m/>
    <m/>
    <m/>
    <s v="Costs and adds include oil. Sales excluded. Costs exclude asset retirement obligations and non-cash acquisition costs."/>
    <m/>
    <m/>
    <m/>
    <m/>
    <m/>
    <m/>
    <m/>
    <m/>
    <m/>
    <m/>
    <m/>
    <m/>
    <m/>
    <n v="0"/>
    <n v="0"/>
    <m/>
    <m/>
    <m/>
    <m/>
    <m/>
    <m/>
    <m/>
    <m/>
    <m/>
    <m/>
    <m/>
    <m/>
    <m/>
    <m/>
    <m/>
    <m/>
    <m/>
    <m/>
    <n v="4"/>
    <m/>
    <m/>
  </r>
  <r>
    <s v="EOG Resources"/>
    <x v="9"/>
    <x v="1"/>
    <n v="436"/>
    <n v="14.487"/>
    <n v="5.484"/>
    <n v="92.637666666666661"/>
    <n v="555.82600000000002"/>
    <n v="167.5"/>
    <n v="2.1629999999999998"/>
    <n v="0.36099999999999999"/>
    <n v="30.440666666666669"/>
    <n v="182.64400000000001"/>
    <n v="123.07833333333333"/>
    <n v="738.47"/>
    <n v="0.7526724172952185"/>
    <n v="0.78441814524689379"/>
    <n v="0.15638347252557455"/>
    <n v="5.919838222753164E-2"/>
    <n v="46.238999999999997"/>
    <n v="0"/>
    <n v="1344.3"/>
    <n v="1621.7339999999999"/>
    <n v="303.00199999999995"/>
    <n v="270.28899999999999"/>
    <n v="50.500333333333316"/>
    <n v="0.22976768592860405"/>
    <m/>
    <n v="-110.3"/>
    <n v="1384.4"/>
    <n v="31"/>
    <n v="0"/>
    <n v="1305.1000000000001"/>
    <n v="-1.5920000000000001"/>
    <n v="67.876999999999995"/>
    <n v="6.0000000000000001E-3"/>
    <n v="0"/>
    <n v="66.290999999999997"/>
    <n v="0"/>
    <n v="0"/>
    <n v="0"/>
    <n v="0"/>
    <n v="0"/>
    <n v="1702.846"/>
    <n v="283.80766666666671"/>
    <n v="376.017"/>
    <n v="69.611999999999995"/>
    <n v="550.72500000000002"/>
    <n v="3298.627"/>
    <n v="4294.9809999999998"/>
    <m/>
    <m/>
    <m/>
    <m/>
    <m/>
    <s v="Costs and adds include oil. Sales excluded. Costs exclude asset retirement obligations and non-cash acquisition costs."/>
    <m/>
    <m/>
    <m/>
    <m/>
    <m/>
    <m/>
    <m/>
    <m/>
    <m/>
    <m/>
    <m/>
    <m/>
    <m/>
    <n v="0"/>
    <n v="0"/>
    <m/>
    <m/>
    <m/>
    <m/>
    <m/>
    <m/>
    <m/>
    <m/>
    <m/>
    <m/>
    <m/>
    <m/>
    <m/>
    <m/>
    <m/>
    <m/>
    <m/>
    <m/>
    <n v="4"/>
    <m/>
    <m/>
  </r>
  <r>
    <s v="EOG Resources"/>
    <x v="9"/>
    <x v="2"/>
    <n v="422.3"/>
    <n v="17.494"/>
    <n v="8.2200000000000006"/>
    <n v="96.097333333333339"/>
    <n v="576.58400000000006"/>
    <n v="194.5"/>
    <n v="2.6390000000000002"/>
    <n v="0.39300000000000002"/>
    <n v="35.448666666666668"/>
    <n v="212.69200000000001"/>
    <n v="131.54599999999999"/>
    <n v="789.27600000000007"/>
    <n v="0.73052265620644741"/>
    <n v="0.73241713262941732"/>
    <n v="0.1820445936758564"/>
    <n v="8.5538273694726177E-2"/>
    <n v="90.619"/>
    <n v="0"/>
    <n v="3020"/>
    <n v="3563.7139999999999"/>
    <n v="1941.98"/>
    <n v="593.95233333333329"/>
    <n v="323.6633333333333"/>
    <n v="1.1974713485688775"/>
    <m/>
    <n v="-378"/>
    <n v="1925"/>
    <n v="450.8"/>
    <n v="0"/>
    <n v="1997.8"/>
    <n v="4.4020000000000001"/>
    <n v="58.258000000000003"/>
    <n v="15.666"/>
    <n v="0"/>
    <n v="78.326000000000008"/>
    <n v="6.109"/>
    <n v="18.545999999999999"/>
    <n v="8.9999999999999993E-3"/>
    <n v="0"/>
    <n v="24.664000000000001"/>
    <n v="2615.7399999999998"/>
    <n v="435.95666666666665"/>
    <n v="648.33100000000002"/>
    <n v="111.36200000000002"/>
    <n v="473.48899999999998"/>
    <n v="1838.8589999999999"/>
    <n v="3072.0410000000002"/>
    <n v="10376.448"/>
    <n v="983.06899999999996"/>
    <n v="5898.4139999999998"/>
    <n v="10.555157369421678"/>
    <n v="1.7591928949036133"/>
    <s v="Costs and adds include oil. Sales excluded. Costs exclude asset retirement obligations and non-cash acquisition costs."/>
    <n v="827"/>
    <n v="248.274"/>
    <n v="0"/>
    <n v="161.97222152029346"/>
    <n v="51.683999999999997"/>
    <n v="0"/>
    <n v="33.71828019468348"/>
    <m/>
    <n v="0"/>
    <n v="0"/>
    <n v="155.82"/>
    <n v="0"/>
    <n v="101.65587841373694"/>
    <n v="3399.473"/>
    <n v="3806.5889999999999"/>
    <n v="0.65239300740429307"/>
    <n v="1124.3463801287139"/>
    <n v="11.700078879698852"/>
    <n v="1.9500131466164754"/>
    <s v="Includes lease and well costs, transportation costs, gathering and processing costs.; Non-income tax = alternative minimum tax paid; Prodction taxes included in LOE"/>
    <n v="4196.3873801287136"/>
    <n v="419.63873801287139"/>
    <n v="0.13659932859387988"/>
    <n v="4.3668093947754851"/>
    <n v="0.72780156579591415"/>
    <n v="31.968015068055998"/>
    <n v="5.3280025113426666"/>
    <n v="22.255236249120529"/>
    <n v="26.622045643896016"/>
    <n v="54.223251317176526"/>
    <n v="3.7092060415200887"/>
    <n v="4.4370076073160032"/>
    <n v="9.0372085528627544"/>
    <n v="4"/>
    <n v="2.2255236249120527"/>
    <n v="213.86688562438184"/>
  </r>
  <r>
    <s v="EOG Resources"/>
    <x v="9"/>
    <x v="3"/>
    <n v="422.6"/>
    <n v="23.091999999999999"/>
    <n v="10.763999999999999"/>
    <n v="104.28933333333333"/>
    <n v="625.7360000000001"/>
    <n v="210.79999999999998"/>
    <n v="4.1919999999999993"/>
    <n v="0.316"/>
    <n v="39.641333333333336"/>
    <n v="237.84799999999996"/>
    <n v="143.93066666666667"/>
    <n v="863.58400000000006"/>
    <n v="0.72458035350353878"/>
    <n v="0.67536469054041948"/>
    <n v="0.22142245291944207"/>
    <n v="0.10321285654013833"/>
    <n v="252.583"/>
    <n v="0"/>
    <n v="2971.7"/>
    <n v="4487.1980000000003"/>
    <n v="923.48400000000038"/>
    <n v="747.86633333333327"/>
    <n v="153.91399999999999"/>
    <n v="0.25913527292032973"/>
    <m/>
    <n v="-222.7"/>
    <n v="821.3"/>
    <n v="0"/>
    <n v="0"/>
    <n v="598.59999999999991"/>
    <n v="-8.3130000000000006"/>
    <n v="199.47900000000001"/>
    <n v="1.2999999999999999E-2"/>
    <n v="0"/>
    <n v="191.17900000000003"/>
    <n v="27.49"/>
    <n v="42.220999999999997"/>
    <n v="0"/>
    <n v="0"/>
    <n v="69.710999999999999"/>
    <n v="2163.94"/>
    <n v="360.65666666666669"/>
    <n v="403.50900000000001"/>
    <n v="0"/>
    <n v="454.37899999999996"/>
    <n v="3821.4029999999998"/>
    <n v="4679.2909999999993"/>
    <n v="12046.312999999998"/>
    <n v="1080.421"/>
    <n v="6482.5259999999998"/>
    <n v="11.14964722085187"/>
    <n v="1.8582745368086451"/>
    <s v="Costs and adds include oil. Sales excluded. Costs exclude asset retirement obligations and non-cash acquisition costs."/>
    <n v="1136"/>
    <n v="280"/>
    <n v="0"/>
    <n v="171.01209696661695"/>
    <n v="233.46199999999999"/>
    <n v="0"/>
    <n v="142.58866493578688"/>
    <m/>
    <n v="0"/>
    <n v="0"/>
    <n v="205.886"/>
    <n v="0"/>
    <n v="125.74641641453177"/>
    <n v="4881.2150000000001"/>
    <n v="5790.8950000000004"/>
    <n v="0.61075748916648909"/>
    <n v="1575.3471783169357"/>
    <n v="15.105544622495133"/>
    <n v="2.5175907704158549"/>
    <s v="Includes lease and well costs, transportation costs, gathering and processing costs.; Non-income tax = alternative minimum tax paid; Prodction taxes included in LOE"/>
    <n v="6254.6381783169345"/>
    <n v="625.46381783169352"/>
    <n v="0.13366636480434613"/>
    <n v="5.9973901245735597"/>
    <n v="0.99956502076225984"/>
    <n v="44.868356623240466"/>
    <n v="7.4780594372067428"/>
    <n v="26.255191843347003"/>
    <n v="32.252581967920563"/>
    <n v="71.123548466587465"/>
    <n v="4.3758653072245002"/>
    <n v="5.3754303279867601"/>
    <n v="11.853924744431243"/>
    <n v="4"/>
    <n v="2.6255191843347001"/>
    <n v="273.81364538814296"/>
  </r>
  <r>
    <s v="EOG Resources"/>
    <x v="9"/>
    <x v="4"/>
    <n v="415.7"/>
    <n v="37.232999999999997"/>
    <n v="15.144"/>
    <n v="121.66033333333334"/>
    <n v="729.96199999999999"/>
    <n v="180.1"/>
    <n v="4.1490000000000009"/>
    <n v="0.316"/>
    <n v="34.481666666666669"/>
    <n v="206.89"/>
    <n v="156.142"/>
    <n v="936.85199999999998"/>
    <n v="0.77916469196842186"/>
    <n v="0.56948169904734769"/>
    <n v="0.30604058841419141"/>
    <n v="0.12447771253846091"/>
    <n v="383.73899999999998"/>
    <n v="0"/>
    <n v="2810.8"/>
    <n v="5113.2340000000004"/>
    <n v="626.03600000000006"/>
    <n v="852.20566666666673"/>
    <n v="104.33933333333346"/>
    <n v="0.13951601868248309"/>
    <m/>
    <n v="-344"/>
    <n v="634"/>
    <n v="3"/>
    <n v="0"/>
    <n v="293"/>
    <n v="-21.187999999999999"/>
    <n v="202.52199999999999"/>
    <n v="8.9999999999999993E-3"/>
    <n v="0"/>
    <n v="181.34299999999999"/>
    <n v="35.999000000000002"/>
    <n v="65.287999999999997"/>
    <n v="1.7000000000000001E-2"/>
    <n v="0"/>
    <n v="101.304"/>
    <n v="1988.8820000000001"/>
    <n v="331.48033333333331"/>
    <n v="295.15999999999997"/>
    <n v="4.2189999999999994"/>
    <n v="311.36900000000003"/>
    <n v="5358.3789999999999"/>
    <n v="5969.1270000000004"/>
    <n v="13720.458999999999"/>
    <n v="1128.0936666666666"/>
    <n v="6768.5619999999999"/>
    <n v="12.162517533266298"/>
    <n v="2.0270862555443827"/>
    <s v="Costs and adds include oil. Sales excluded. Costs exclude asset retirement obligations and non-cash acquisition costs."/>
    <n v="1518"/>
    <n v="304"/>
    <n v="0"/>
    <n v="181.02005336829305"/>
    <n v="260.22399999999999"/>
    <n v="0"/>
    <n v="154.95316568325885"/>
    <m/>
    <n v="0"/>
    <n v="0"/>
    <n v="268.10399999999998"/>
    <n v="0"/>
    <n v="159.6453960139896"/>
    <n v="6858.1580000000004"/>
    <n v="8973.9500000000007"/>
    <n v="0.59546070186938505"/>
    <n v="2013.6186150655415"/>
    <n v="16.551151553633268"/>
    <n v="2.7585252589388785"/>
    <s v="Includes lease and well costs, transportation costs, gathering and processing costs.; Non-income tax = alternative minimum tax paid; Prodction taxes included in LOE"/>
    <n v="7982.7456150655416"/>
    <n v="798.27456150655416"/>
    <n v="0.13373388797165048"/>
    <n v="6.5615023371618308"/>
    <n v="1.0935837228603054"/>
    <n v="49.063871817985046"/>
    <n v="8.1773119696641743"/>
    <n v="28.713669086899564"/>
    <n v="35.275171424061398"/>
    <n v="77.777540904884603"/>
    <n v="4.7856115144832607"/>
    <n v="5.8791952373435663"/>
    <n v="12.962923484147435"/>
    <n v="4"/>
    <n v="2.8713669086899563"/>
    <n v="349.331455233523"/>
  </r>
  <r>
    <s v="EOG Resources"/>
    <x v="9"/>
    <x v="5"/>
    <n v="380.2"/>
    <n v="54.631999999999998"/>
    <n v="20.181000000000001"/>
    <n v="138.17966666666666"/>
    <n v="829.07799999999997"/>
    <n v="176.4"/>
    <n v="3.1629999999999998"/>
    <n v="0.309"/>
    <n v="32.872"/>
    <n v="197.23200000000003"/>
    <n v="171.05166666666668"/>
    <n v="1026.31"/>
    <n v="0.80782414670031477"/>
    <n v="0.45858170160105566"/>
    <n v="0.39536931386431673"/>
    <n v="0.14604898453462764"/>
    <n v="389.86200000000002"/>
    <n v="156.92400000000001"/>
    <n v="1648.5"/>
    <n v="4929.2160000000003"/>
    <n v="-184.01800000000003"/>
    <n v="821.53600000000006"/>
    <n v="-30.669666666666672"/>
    <n v="-3.5988573963170865E-2"/>
    <m/>
    <n v="-1736"/>
    <n v="477.8"/>
    <n v="14.8"/>
    <n v="0"/>
    <n v="-1243.4000000000001"/>
    <n v="4.1050000000000004"/>
    <n v="241.17099999999999"/>
    <n v="1.01"/>
    <n v="0"/>
    <n v="246.28599999999997"/>
    <n v="47.292999999999999"/>
    <n v="71.396000000000001"/>
    <n v="0.61199999999999999"/>
    <n v="0"/>
    <n v="119.30099999999999"/>
    <n v="950.12199999999973"/>
    <n v="158.35366666666661"/>
    <n v="471.34500000000003"/>
    <n v="0.73899999999999999"/>
    <n v="333.53399999999999"/>
    <n v="5577.3779999999997"/>
    <n v="6382.9959999999992"/>
    <n v="17031.413999999997"/>
    <n v="850.49066666666658"/>
    <n v="5102.9439999999995"/>
    <n v="20.025397887964278"/>
    <n v="3.3375663146607133"/>
    <s v="Costs and adds include oil. Sales excluded. Costs exclude asset retirement obligations and non-cash acquisition costs."/>
    <n v="1856.18"/>
    <n v="331.54500000000002"/>
    <n v="0"/>
    <n v="192.8067660775759"/>
    <n v="360.00599999999997"/>
    <n v="0"/>
    <n v="209.3579834668711"/>
    <m/>
    <n v="0"/>
    <n v="0"/>
    <n v="263.25400000000002"/>
    <n v="0"/>
    <n v="153.09280006329809"/>
    <n v="7958.3759999999993"/>
    <n v="11055.07"/>
    <n v="0.5815402617369464"/>
    <n v="2411.437549607745"/>
    <n v="17.451464515578113"/>
    <n v="2.9085774192630187"/>
    <s v="Includes lease and well costs, transportation costs, gathering and processing costs.; Non-income tax = alternative minimum tax paid; Prodction taxes included in LOE"/>
    <n v="8794.4335496077438"/>
    <n v="879.4433549607744"/>
    <n v="0.13777908602179517"/>
    <n v="6.3644917966278767"/>
    <n v="1.0607486327713127"/>
    <n v="46.193453450700652"/>
    <n v="7.6989089084501092"/>
    <n v="37.476862403542391"/>
    <n v="43.841354200170265"/>
    <n v="83.670315854243043"/>
    <n v="6.2461437339237325"/>
    <n v="7.3068923666950454"/>
    <n v="13.945052642373842"/>
    <n v="4"/>
    <n v="3.747686240354239"/>
    <n v="517.85403546340194"/>
  </r>
  <r>
    <s v="EOG Resources"/>
    <x v="9"/>
    <x v="6"/>
    <n v="342.3"/>
    <n v="77.430999999999997"/>
    <n v="23.478999999999999"/>
    <n v="157.95999999999998"/>
    <n v="947.76"/>
    <n v="160.1"/>
    <n v="3.03"/>
    <n v="0.315"/>
    <n v="30.028333333333336"/>
    <n v="180.17"/>
    <n v="187.98833333333332"/>
    <n v="1127.93"/>
    <n v="0.84026491005647508"/>
    <n v="0.36116738414788557"/>
    <n v="0.49019371992909599"/>
    <n v="0.14863889592301849"/>
    <n v="497.53199999999998"/>
    <n v="176.03800000000001"/>
    <n v="1801.4"/>
    <n v="5842.82"/>
    <n v="913.60399999999936"/>
    <n v="973.80333333333328"/>
    <n v="152.26733333333323"/>
    <n v="0.18534468767446979"/>
    <m/>
    <n v="264"/>
    <n v="504.7"/>
    <n v="5.7"/>
    <n v="0"/>
    <n v="774.40000000000009"/>
    <n v="57.667999999999999"/>
    <n v="230.023"/>
    <n v="1.097"/>
    <n v="0"/>
    <n v="288.78799999999995"/>
    <n v="12.157"/>
    <n v="69.186999999999998"/>
    <n v="1.202"/>
    <n v="0"/>
    <n v="82.545999999999992"/>
    <n v="3002.4039999999995"/>
    <n v="500.40066666666661"/>
    <n v="411.55599999999998"/>
    <n v="120.22"/>
    <n v="273.78799999999995"/>
    <n v="5489.26"/>
    <n v="6294.8240000000005"/>
    <n v="18646.947"/>
    <n v="990.2346666666665"/>
    <n v="5941.4079999999994"/>
    <n v="18.83083639433616"/>
    <n v="3.13847273238936"/>
    <s v="Costs and adds include oil. Sales excluded. Costs exclude asset retirement obligations and non-cash acquisition costs."/>
    <n v="2336.3580000000002"/>
    <n v="348.31200000000001"/>
    <n v="0"/>
    <n v="218.61347066438097"/>
    <n v="294.73899999999998"/>
    <n v="0"/>
    <n v="184.98907798223712"/>
    <m/>
    <n v="0"/>
    <n v="0"/>
    <n v="284.59899999999999"/>
    <n v="0"/>
    <n v="178.62483961968624"/>
    <n v="10755.646000000001"/>
    <n v="14399.395"/>
    <n v="0.62763691938371624"/>
    <n v="2918.5853882663046"/>
    <n v="18.476737074362529"/>
    <n v="3.0794561790604211"/>
    <s v="Includes lease and well costs, transportation costs, gathering and processing costs.; Non-income tax = alternative minimum tax paid; Prodction taxes included in LOE"/>
    <n v="9213.4093882663055"/>
    <n v="921.34093882663058"/>
    <n v="0.14636484496256455"/>
    <n v="5.8327484098925719"/>
    <n v="0.97212473498209528"/>
    <n v="39.850747024563191"/>
    <n v="6.6417911707605306"/>
    <n v="37.307573468698692"/>
    <n v="43.140321878591266"/>
    <n v="77.158320493261883"/>
    <n v="6.2179289114497811"/>
    <n v="7.1900536464318767"/>
    <n v="12.859720082210313"/>
    <n v="4"/>
    <n v="3.7307573468698694"/>
    <n v="589.3104305115645"/>
  </r>
  <r>
    <s v="EOG Resources"/>
    <x v="9"/>
    <x v="7"/>
    <n v="348.4"/>
    <n v="102.946"/>
    <n v="29.061"/>
    <n v="190.07366666666667"/>
    <n v="1140.442"/>
    <n v="157.90000000000003"/>
    <n v="2.5019999999999953"/>
    <n v="0.23599999999999999"/>
    <n v="29.05466666666667"/>
    <n v="174.328"/>
    <n v="219.12833333333333"/>
    <n v="1314.77"/>
    <n v="0.86740798770887684"/>
    <n v="0.30549558855250858"/>
    <n v="0.5416110595716398"/>
    <n v="0.15289335187585165"/>
    <n v="635.98800000000006"/>
    <n v="202.31899999999999"/>
    <n v="1802.7"/>
    <n v="6832.5420000000004"/>
    <n v="989.72200000000066"/>
    <n v="1138.7570000000001"/>
    <n v="164.95366666666678"/>
    <n v="0.16939115016379089"/>
    <m/>
    <n v="252.2"/>
    <n v="17.100000000000001"/>
    <n v="638.29999999999995"/>
    <n v="0"/>
    <n v="907.59999999999991"/>
    <n v="28.300999999999998"/>
    <n v="319.54000000000002"/>
    <n v="9.7050000000000001"/>
    <n v="0"/>
    <n v="357.54599999999999"/>
    <n v="27.45"/>
    <n v="91.683000000000007"/>
    <n v="1.8120000000000001"/>
    <n v="0"/>
    <n v="120.94500000000001"/>
    <n v="3778.5459999999998"/>
    <n v="629.75766666666664"/>
    <n v="365.91500000000002"/>
    <n v="138.77199999999999"/>
    <n v="332.70299999999997"/>
    <n v="6489.192"/>
    <n v="7326.5820000000003"/>
    <n v="20004.402000000002"/>
    <n v="1288.5119999999997"/>
    <n v="7731.0719999999992"/>
    <n v="15.525196505736854"/>
    <n v="2.5875327509561421"/>
    <m/>
    <n v="2897.596"/>
    <n v="402.01"/>
    <n v="0"/>
    <n v="263.90844900736369"/>
    <n v="342.74099999999999"/>
    <n v="0"/>
    <n v="224.99998935656535"/>
    <m/>
    <n v="0"/>
    <n v="0"/>
    <n v="258.62799999999999"/>
    <n v="0"/>
    <n v="169.78213066808402"/>
    <n v="12592.914999999999"/>
    <n v="16639.231"/>
    <n v="0.65647234896486084"/>
    <n v="3556.2865690320132"/>
    <n v="18.710043486816584"/>
    <n v="3.1183405811360974"/>
    <m/>
    <n v="10882.868569032013"/>
    <n v="1088.2868569032014"/>
    <n v="0.1485395040829682"/>
    <n v="5.7256056348496536"/>
    <n v="0.95426760580827552"/>
    <n v="38.546012861679948"/>
    <n v="6.4243354769466574"/>
    <n v="34.235239992553439"/>
    <n v="39.960845627403089"/>
    <n v="72.781252854233387"/>
    <n v="5.7058733320922395"/>
    <n v="6.6601409379005148"/>
    <n v="12.130208809038898"/>
    <n v="4"/>
    <n v="3.4235239992553437"/>
    <n v="650.72175945979382"/>
  </r>
  <r>
    <s v="EOG Resources"/>
    <x v="9"/>
    <x v="8"/>
    <n v="337.3"/>
    <n v="103.4"/>
    <n v="28.079000000000001"/>
    <n v="187.69566666666668"/>
    <n v="1126.174"/>
    <n v="138.39999999999998"/>
    <n v="0.39699999999999136"/>
    <n v="1.9E-2"/>
    <n v="23.482666666666653"/>
    <n v="140.89599999999993"/>
    <n v="211.17833333333334"/>
    <n v="1267.07"/>
    <n v="0.8888017236616762"/>
    <n v="0.29950966724502609"/>
    <n v="0.55089178048862786"/>
    <n v="0.14959855226634605"/>
    <n v="643.79"/>
    <n v="176.977"/>
    <n v="1278.5999999999999"/>
    <n v="6203.2019999999993"/>
    <n v="-629.34000000000106"/>
    <n v="1033.867"/>
    <n v="-104.8900000000001"/>
    <n v="-9.2109203280418994E-2"/>
    <m/>
    <n v="-1453.1"/>
    <n v="306.3"/>
    <n v="72.3"/>
    <n v="0"/>
    <n v="-1074.5"/>
    <n v="-114.92400000000001"/>
    <n v="141.31"/>
    <n v="35.921999999999997"/>
    <n v="0"/>
    <n v="62.307999999999993"/>
    <n v="-113.29"/>
    <n v="49.146999999999998"/>
    <n v="8.2509999999999994"/>
    <n v="0"/>
    <n v="-55.892000000000003"/>
    <n v="-1036.0040000000001"/>
    <n v="-172.66733333333335"/>
    <n v="133.80099999999999"/>
    <n v="480.61700000000002"/>
    <n v="206.81399999999999"/>
    <n v="3815.8159999999998"/>
    <n v="4637.0479999999998"/>
    <n v="18258.454000000002"/>
    <n v="957.49099999999999"/>
    <n v="5744.945999999999"/>
    <n v="19.069060701353852"/>
    <n v="3.178176783558976"/>
    <m/>
    <n v="2324.6170000000002"/>
    <n v="366.59399999999999"/>
    <n v="0"/>
    <n v="241.02066279278657"/>
    <n v="41.107999999999997"/>
    <n v="0"/>
    <n v="27.026840063083057"/>
    <m/>
    <n v="0"/>
    <n v="0"/>
    <n v="279.23399999999998"/>
    <n v="0"/>
    <n v="183.58501163216246"/>
    <n v="6403.2579999999998"/>
    <n v="8656.393"/>
    <n v="0.65745937683864597"/>
    <n v="2776.2495144880322"/>
    <n v="14.791228608481632"/>
    <n v="2.4652047680802722"/>
    <m/>
    <n v="7413.297514488032"/>
    <n v="741.32975144880322"/>
    <n v="0.15987105405180263"/>
    <n v="3.9496370087507073"/>
    <n v="0.65827283479178456"/>
    <n v="24.705141479025439"/>
    <n v="4.1175235798375738"/>
    <n v="33.86028930983548"/>
    <n v="37.809926318586186"/>
    <n v="58.565430788860922"/>
    <n v="5.6433815516392478"/>
    <n v="6.3016543864310322"/>
    <n v="9.7609051314768216"/>
    <n v="4"/>
    <n v="3.3860289309835481"/>
    <n v="635.54295755357771"/>
  </r>
  <r>
    <s v="EOG Resources"/>
    <x v="9"/>
    <x v="9"/>
    <n v="308.60000000000002"/>
    <n v="101.854"/>
    <n v="29.878"/>
    <n v="183.16533333333331"/>
    <n v="1098.992"/>
    <n v="134"/>
    <n v="1.5570000000000022"/>
    <n v="0"/>
    <n v="23.890333333333334"/>
    <n v="143.34200000000001"/>
    <n v="207.05566666666664"/>
    <n v="1242.3340000000001"/>
    <n v="0.88461879011602351"/>
    <n v="0.28080277199470061"/>
    <n v="0.55607684132368573"/>
    <n v="0.16312038668161372"/>
    <n v="660.96"/>
    <n v="186.14699999999999"/>
    <n v="1216.8"/>
    <n v="6299.442"/>
    <n v="96.240000000000691"/>
    <n v="1049.9069999999999"/>
    <n v="16.039999999999964"/>
    <n v="1.5514568121431446E-2"/>
    <m/>
    <n v="298.39999999999998"/>
    <n v="202.1"/>
    <n v="91.5"/>
    <n v="0"/>
    <n v="592"/>
    <n v="42.04"/>
    <n v="123.441"/>
    <n v="25.795000000000002"/>
    <n v="0"/>
    <n v="191.27600000000001"/>
    <n v="53.771000000000001"/>
    <n v="41.862000000000002"/>
    <n v="1.284"/>
    <n v="0"/>
    <n v="96.917000000000016"/>
    <n v="2321.1579999999999"/>
    <n v="386.85966666666673"/>
    <n v="3216.598"/>
    <n v="749.02300000000002"/>
    <n v="156.29499999999999"/>
    <n v="2294.7130000000002"/>
    <n v="6416.6290000000008"/>
    <n v="18380.259000000002"/>
    <n v="843.95"/>
    <n v="5063.6999999999989"/>
    <n v="21.778848273001955"/>
    <n v="3.6298080455003272"/>
    <m/>
    <n v="1917.6179999999999"/>
    <n v="394.815"/>
    <n v="0"/>
    <n v="257.24188196492253"/>
    <n v="-39.238999999999997"/>
    <n v="0"/>
    <n v="-25.566187217865568"/>
    <m/>
    <n v="0"/>
    <n v="0"/>
    <n v="313.34100000000001"/>
    <n v="0"/>
    <n v="204.15746244892114"/>
    <n v="5496.7430000000004"/>
    <n v="7463.0020000000004"/>
    <n v="0.65155042732652646"/>
    <n v="2353.4511571959779"/>
    <n v="12.848780467169798"/>
    <n v="2.141463411194966"/>
    <m/>
    <n v="8770.0801571959782"/>
    <n v="877.00801571959789"/>
    <n v="0.13667737619232742"/>
    <n v="4.7880676968691205"/>
    <n v="0.7980112828115199"/>
    <n v="35.031896501521402"/>
    <n v="5.8386494169202336"/>
    <n v="34.627628740171751"/>
    <n v="39.415696437040872"/>
    <n v="69.65952524169316"/>
    <n v="5.7712714566952936"/>
    <n v="6.5692827395068134"/>
    <n v="11.609920873615527"/>
    <n v="4"/>
    <n v="3.4627628740171752"/>
    <n v="634.2581160736471"/>
  </r>
  <r>
    <s v="Hess"/>
    <x v="10"/>
    <x v="0"/>
    <n v="38"/>
    <n v="15"/>
    <n v="0"/>
    <n v="21.333333333333332"/>
    <n v="128"/>
    <n v="203"/>
    <n v="85"/>
    <n v="0"/>
    <n v="118.83333333333334"/>
    <n v="713"/>
    <n v="140.16666666666669"/>
    <n v="841"/>
    <n v="0.15219976218787157"/>
    <n v="0.296875"/>
    <n v="0.703125"/>
    <n v="0"/>
    <n v="103"/>
    <n v="0"/>
    <n v="71"/>
    <n v="689"/>
    <m/>
    <n v="114.83333333333333"/>
    <m/>
    <m/>
    <m/>
    <n v="32"/>
    <n v="26"/>
    <n v="1"/>
    <n v="13"/>
    <n v="72"/>
    <n v="37"/>
    <n v="17"/>
    <n v="5"/>
    <n v="22"/>
    <n v="81"/>
    <n v="0"/>
    <n v="0"/>
    <n v="0"/>
    <n v="0"/>
    <n v="0"/>
    <n v="558"/>
    <n v="93"/>
    <n v="316"/>
    <n v="137"/>
    <n v="421"/>
    <n v="544"/>
    <n v="1418"/>
    <m/>
    <m/>
    <m/>
    <m/>
    <m/>
    <m/>
    <m/>
    <m/>
    <m/>
    <m/>
    <m/>
    <m/>
    <m/>
    <m/>
    <m/>
    <m/>
    <m/>
    <m/>
    <m/>
    <n v="0"/>
    <n v="0"/>
    <m/>
    <m/>
    <m/>
    <m/>
    <m/>
    <m/>
    <m/>
    <m/>
    <m/>
    <m/>
    <m/>
    <m/>
    <m/>
    <m/>
    <m/>
    <m/>
    <m/>
    <m/>
    <m/>
    <m/>
    <m/>
  </r>
  <r>
    <s v="Hess"/>
    <x v="10"/>
    <x v="1"/>
    <n v="34"/>
    <n v="15"/>
    <n v="0"/>
    <n v="20.666666666666668"/>
    <n v="124"/>
    <n v="238"/>
    <n v="82"/>
    <n v="0"/>
    <n v="121.66666666666666"/>
    <n v="730"/>
    <n v="142.33333333333331"/>
    <n v="854"/>
    <n v="0.14519906323185011"/>
    <n v="0.27419354838709675"/>
    <n v="0.72580645161290314"/>
    <n v="0"/>
    <n v="108"/>
    <n v="0"/>
    <n v="74"/>
    <n v="722"/>
    <n v="33"/>
    <n v="120.33333333333333"/>
    <n v="5.5"/>
    <n v="4.7895500725689405E-2"/>
    <m/>
    <n v="147"/>
    <n v="32"/>
    <n v="2"/>
    <n v="1"/>
    <n v="182"/>
    <n v="9"/>
    <n v="26"/>
    <n v="2"/>
    <n v="1"/>
    <n v="38"/>
    <n v="0"/>
    <n v="0"/>
    <n v="0"/>
    <n v="0"/>
    <n v="0"/>
    <n v="410"/>
    <n v="68.333333333333329"/>
    <n v="642"/>
    <n v="87"/>
    <n v="408"/>
    <n v="698"/>
    <n v="1835"/>
    <m/>
    <m/>
    <m/>
    <m/>
    <m/>
    <m/>
    <m/>
    <m/>
    <m/>
    <m/>
    <m/>
    <m/>
    <m/>
    <m/>
    <m/>
    <m/>
    <m/>
    <m/>
    <m/>
    <n v="0"/>
    <n v="0"/>
    <m/>
    <m/>
    <m/>
    <m/>
    <m/>
    <m/>
    <m/>
    <m/>
    <m/>
    <m/>
    <m/>
    <m/>
    <m/>
    <m/>
    <m/>
    <m/>
    <m/>
    <m/>
    <m/>
    <m/>
    <m/>
  </r>
  <r>
    <s v="Hess"/>
    <x v="10"/>
    <x v="2"/>
    <n v="39"/>
    <n v="26"/>
    <n v="0"/>
    <n v="32.5"/>
    <n v="195"/>
    <n v="231"/>
    <n v="78"/>
    <n v="0"/>
    <n v="116.5"/>
    <n v="699"/>
    <n v="149"/>
    <n v="894"/>
    <n v="0.21812080536912751"/>
    <n v="0.2"/>
    <n v="0.8"/>
    <n v="0"/>
    <n v="95"/>
    <n v="0"/>
    <n v="101"/>
    <n v="671"/>
    <n v="-51"/>
    <n v="111.83333333333333"/>
    <n v="-8.5"/>
    <n v="-7.0637119113573413E-2"/>
    <m/>
    <n v="46"/>
    <n v="23"/>
    <n v="0"/>
    <n v="0"/>
    <n v="69"/>
    <n v="22"/>
    <n v="26"/>
    <n v="0"/>
    <n v="0"/>
    <n v="48"/>
    <n v="0"/>
    <n v="0"/>
    <n v="0"/>
    <n v="0"/>
    <n v="0"/>
    <n v="357"/>
    <n v="59.5"/>
    <n v="184"/>
    <n v="0"/>
    <n v="206"/>
    <n v="816"/>
    <n v="1206"/>
    <n v="4459"/>
    <n v="220.83333333333331"/>
    <n v="1325"/>
    <n v="20.191698113207551"/>
    <n v="3.3652830188679244"/>
    <m/>
    <n v="1805"/>
    <m/>
    <n v="255"/>
    <n v="255"/>
    <n v="1177"/>
    <m/>
    <n v="256.7281879194631"/>
    <m/>
    <n v="0"/>
    <n v="0"/>
    <n v="366"/>
    <m/>
    <n v="79.832214765100673"/>
    <n v="6880"/>
    <n v="6880"/>
    <n v="0.21812080536912751"/>
    <n v="2396.560402684564"/>
    <n v="73.740320082601968"/>
    <n v="12.290053347100327"/>
    <m/>
    <n v="3602.560402684564"/>
    <n v="360.25604026845645"/>
    <n v="0.29871976805012973"/>
    <n v="11.08480123902943"/>
    <n v="1.8474668731715715"/>
    <n v="37.107692307692311"/>
    <n v="6.1846153846153848"/>
    <n v="93.932018195809519"/>
    <n v="105.01681943483895"/>
    <n v="131.03971050350182"/>
    <n v="15.655336365968251"/>
    <n v="17.502803239139823"/>
    <n v="21.839951750583637"/>
    <n v="4"/>
    <n v="9.3932018195809519"/>
    <n v="305.27905913638097"/>
  </r>
  <r>
    <s v="Hess"/>
    <x v="10"/>
    <x v="3"/>
    <n v="46"/>
    <n v="32"/>
    <n v="0"/>
    <n v="39.666666666666664"/>
    <n v="238"/>
    <n v="217"/>
    <n v="80"/>
    <n v="0"/>
    <n v="116.16666666666666"/>
    <n v="697"/>
    <n v="155.83333333333331"/>
    <n v="935"/>
    <n v="0.25454545454545452"/>
    <n v="0.19327731092436976"/>
    <n v="0.80672268907563027"/>
    <n v="0"/>
    <n v="124"/>
    <n v="0"/>
    <n v="81"/>
    <n v="825"/>
    <n v="154"/>
    <n v="137.5"/>
    <n v="25.666666666666671"/>
    <n v="0.22950819672131154"/>
    <m/>
    <n v="-7"/>
    <n v="14"/>
    <n v="13"/>
    <n v="0"/>
    <n v="20"/>
    <n v="68"/>
    <n v="3"/>
    <n v="16"/>
    <n v="0"/>
    <n v="87"/>
    <n v="0"/>
    <n v="0"/>
    <n v="0"/>
    <n v="0"/>
    <n v="0"/>
    <n v="542"/>
    <n v="90.333333333333329"/>
    <n v="1849"/>
    <n v="443"/>
    <n v="185"/>
    <n v="1026"/>
    <n v="3503"/>
    <n v="6544"/>
    <n v="218.16666666666666"/>
    <n v="1309"/>
    <n v="29.995416348357526"/>
    <n v="4.9992360580595872"/>
    <m/>
    <n v="589"/>
    <m/>
    <n v="161"/>
    <n v="161"/>
    <n v="1450"/>
    <m/>
    <n v="369.09090909090907"/>
    <m/>
    <n v="0"/>
    <n v="0"/>
    <n v="366"/>
    <m/>
    <n v="93.163636363636357"/>
    <n v="8608"/>
    <n v="8608"/>
    <n v="0.25454545454545452"/>
    <n v="1212.2545454545455"/>
    <n v="30.561038961038964"/>
    <n v="5.0935064935064931"/>
    <m/>
    <n v="4715.2545454545452"/>
    <n v="471.52545454545452"/>
    <n v="0.13460618171437469"/>
    <n v="11.887196333078686"/>
    <n v="1.9811993888464476"/>
    <n v="88.310924369747909"/>
    <n v="14.718487394957982"/>
    <n v="60.55645530939649"/>
    <n v="72.443651642475174"/>
    <n v="148.86737967914439"/>
    <n v="10.092742551566079"/>
    <n v="12.073941940412528"/>
    <n v="24.811229946524062"/>
    <n v="4"/>
    <n v="6.0556455309396489"/>
    <n v="240.20727272727274"/>
  </r>
  <r>
    <s v="Hess"/>
    <x v="10"/>
    <x v="4"/>
    <n v="42"/>
    <n v="34"/>
    <n v="0"/>
    <n v="41"/>
    <n v="246"/>
    <n v="202"/>
    <n v="63"/>
    <n v="0"/>
    <n v="96.666666666666657"/>
    <n v="580"/>
    <n v="137.66666666666666"/>
    <n v="826"/>
    <n v="0.29782082324455206"/>
    <n v="0.17073170731707318"/>
    <n v="0.82926829268292679"/>
    <n v="0"/>
    <n v="183"/>
    <n v="0"/>
    <n v="161"/>
    <n v="1259"/>
    <n v="434"/>
    <n v="209.83333333333334"/>
    <n v="72.333333333333343"/>
    <n v="0.52606060606060612"/>
    <m/>
    <n v="36"/>
    <n v="85"/>
    <n v="1"/>
    <n v="0"/>
    <n v="122"/>
    <n v="33"/>
    <n v="70"/>
    <n v="0"/>
    <n v="0"/>
    <n v="103"/>
    <n v="0"/>
    <n v="0"/>
    <n v="0"/>
    <n v="0"/>
    <n v="0"/>
    <n v="740"/>
    <n v="123.33333333333333"/>
    <n v="992"/>
    <n v="6"/>
    <n v="93"/>
    <n v="1979"/>
    <n v="3070"/>
    <n v="7779"/>
    <n v="273.16666666666663"/>
    <n v="1639"/>
    <n v="28.477120195241003"/>
    <n v="4.7461866992068336"/>
    <m/>
    <n v="531"/>
    <m/>
    <n v="190"/>
    <n v="190"/>
    <n v="1384"/>
    <m/>
    <n v="412.18401937046002"/>
    <m/>
    <n v="129"/>
    <n v="129"/>
    <n v="396"/>
    <m/>
    <n v="117.93704600484261"/>
    <n v="10586"/>
    <n v="10586"/>
    <n v="0.29782082324455206"/>
    <n v="1380.1210653753026"/>
    <n v="33.661489399397624"/>
    <n v="5.6102482332329373"/>
    <m/>
    <n v="4450.1210653753024"/>
    <n v="445.01210653753026"/>
    <n v="0.14495508356271344"/>
    <n v="10.853953817988543"/>
    <n v="1.8089923029980906"/>
    <n v="74.878048780487802"/>
    <n v="12.479674796747968"/>
    <n v="62.138609594638623"/>
    <n v="72.992563412627163"/>
    <n v="137.01665837512644"/>
    <n v="10.356434932439772"/>
    <n v="12.165427235437862"/>
    <n v="22.83610972918774"/>
    <n v="4"/>
    <n v="6.2138609594638625"/>
    <n v="254.76829933801835"/>
  </r>
  <r>
    <s v="Hess"/>
    <x v="10"/>
    <x v="5"/>
    <n v="50"/>
    <n v="45"/>
    <n v="0"/>
    <n v="53.333333333333336"/>
    <n v="320"/>
    <n v="194"/>
    <n v="65"/>
    <n v="0"/>
    <n v="97.333333333333343"/>
    <n v="584"/>
    <n v="150.66666666666669"/>
    <n v="904"/>
    <n v="0.35398230088495575"/>
    <n v="0.15625"/>
    <n v="0.84375"/>
    <n v="0"/>
    <n v="193"/>
    <n v="0"/>
    <n v="168"/>
    <n v="1326"/>
    <n v="67"/>
    <n v="221"/>
    <n v="11.166666666666657"/>
    <n v="5.3216838760921321E-2"/>
    <m/>
    <n v="10"/>
    <n v="76"/>
    <n v="0"/>
    <n v="4"/>
    <n v="90"/>
    <n v="32"/>
    <n v="108"/>
    <n v="0"/>
    <n v="7"/>
    <n v="147"/>
    <n v="0"/>
    <n v="0"/>
    <n v="0"/>
    <n v="0"/>
    <n v="0"/>
    <n v="972"/>
    <n v="162"/>
    <n v="179"/>
    <n v="0"/>
    <n v="86"/>
    <n v="3521"/>
    <n v="3786"/>
    <n v="10359"/>
    <n v="375.66666666666663"/>
    <n v="2254"/>
    <n v="27.574977817213846"/>
    <n v="4.595829636202307"/>
    <m/>
    <n v="758"/>
    <m/>
    <n v="196"/>
    <n v="196"/>
    <n v="1822"/>
    <m/>
    <n v="644.95575221238937"/>
    <m/>
    <n v="199"/>
    <n v="199"/>
    <n v="447"/>
    <m/>
    <n v="158.23008849557522"/>
    <n v="12196"/>
    <n v="12196"/>
    <n v="0.35398230088495575"/>
    <n v="1956.1858407079646"/>
    <n v="36.678484513274334"/>
    <n v="6.1130807522123893"/>
    <m/>
    <n v="5742.1858407079644"/>
    <n v="574.21858407079651"/>
    <n v="0.1516689339859473"/>
    <n v="10.766598451327434"/>
    <n v="1.7944330752212392"/>
    <n v="70.987499999999997"/>
    <n v="11.831250000000001"/>
    <n v="64.253462330488176"/>
    <n v="75.020060781815616"/>
    <n v="135.24096233048817"/>
    <n v="10.708910388414697"/>
    <n v="12.503343463635936"/>
    <n v="22.540160388414698"/>
    <n v="4"/>
    <n v="6.4253462330488178"/>
    <n v="342.68513242927031"/>
  </r>
  <r>
    <s v="Hess"/>
    <x v="10"/>
    <x v="6"/>
    <n v="51"/>
    <n v="45"/>
    <n v="0"/>
    <n v="53.5"/>
    <n v="321"/>
    <n v="169"/>
    <n v="43"/>
    <n v="0"/>
    <n v="71.166666666666671"/>
    <n v="427"/>
    <n v="124.66666666666667"/>
    <n v="748"/>
    <n v="0.42914438502673796"/>
    <n v="0.15887850467289719"/>
    <n v="0.84112149532710279"/>
    <n v="0"/>
    <n v="242"/>
    <n v="62"/>
    <n v="185"/>
    <n v="2009"/>
    <n v="683"/>
    <n v="334.83333333333331"/>
    <n v="113.83333333333331"/>
    <n v="0.51508295625942679"/>
    <m/>
    <n v="-12"/>
    <n v="131"/>
    <n v="0"/>
    <n v="0"/>
    <n v="119"/>
    <n v="-55"/>
    <n v="211"/>
    <n v="0"/>
    <n v="0"/>
    <n v="156"/>
    <n v="0"/>
    <n v="0"/>
    <n v="0"/>
    <n v="0"/>
    <n v="0"/>
    <n v="1055"/>
    <n v="175.83333333333334"/>
    <n v="55"/>
    <n v="0"/>
    <n v="32"/>
    <n v="2109"/>
    <n v="2196"/>
    <n v="9052"/>
    <n v="461.16666666666663"/>
    <n v="2767"/>
    <n v="19.628478496566679"/>
    <n v="3.271413082761113"/>
    <m/>
    <n v="675"/>
    <m/>
    <n v="203"/>
    <n v="203"/>
    <n v="1353"/>
    <m/>
    <n v="580.63235294117646"/>
    <m/>
    <n v="232"/>
    <n v="232"/>
    <n v="466"/>
    <m/>
    <n v="199.98128342245988"/>
    <n v="11849"/>
    <n v="11849"/>
    <n v="0.42914438502673796"/>
    <n v="1890.6136363636365"/>
    <n v="35.338572642310965"/>
    <n v="5.8897621070518271"/>
    <m/>
    <n v="4086.6136363636365"/>
    <n v="408.66136363636366"/>
    <n v="0.18609351713859912"/>
    <n v="7.638530161427358"/>
    <n v="1.2730883602378931"/>
    <n v="41.046728971962615"/>
    <n v="6.8411214953271031"/>
    <n v="54.967051138877643"/>
    <n v="62.605581300305005"/>
    <n v="96.013780110840258"/>
    <n v="9.1611751898129405"/>
    <n v="10.434263550050833"/>
    <n v="16.002296685140045"/>
    <n v="4"/>
    <n v="5.4967051138877645"/>
    <n v="294.07372359299541"/>
  </r>
  <r>
    <s v="Hess"/>
    <x v="10"/>
    <x v="7"/>
    <n v="66"/>
    <n v="46"/>
    <n v="8"/>
    <n v="65"/>
    <n v="390"/>
    <n v="131"/>
    <n v="35"/>
    <n v="0"/>
    <n v="56.833333333333329"/>
    <n v="341"/>
    <n v="121.83333333333333"/>
    <n v="731"/>
    <n v="0.53351573187414503"/>
    <n v="0.16923076923076924"/>
    <n v="0.70769230769230773"/>
    <n v="0.12307692307692308"/>
    <n v="248"/>
    <n v="63"/>
    <n v="270"/>
    <n v="2136"/>
    <n v="127"/>
    <n v="356"/>
    <n v="21.166666666666686"/>
    <n v="6.3215530114484872E-2"/>
    <m/>
    <n v="58"/>
    <n v="184"/>
    <n v="0"/>
    <n v="0"/>
    <n v="242"/>
    <n v="-26"/>
    <n v="115"/>
    <n v="0"/>
    <n v="0"/>
    <n v="89"/>
    <n v="-8"/>
    <n v="22"/>
    <n v="0"/>
    <n v="0"/>
    <n v="14"/>
    <n v="860"/>
    <n v="143.33333333333334"/>
    <n v="21"/>
    <n v="0"/>
    <n v="28"/>
    <n v="2665"/>
    <n v="2714"/>
    <n v="8696"/>
    <n v="481.16666666666674"/>
    <n v="2887"/>
    <n v="18.072739868375475"/>
    <n v="3.0121233113959125"/>
    <m/>
    <n v="731"/>
    <m/>
    <n v="482"/>
    <n v="482"/>
    <n v="455"/>
    <m/>
    <n v="242.749658002736"/>
    <m/>
    <n v="240"/>
    <n v="240"/>
    <n v="397"/>
    <m/>
    <n v="211.80574555403558"/>
    <n v="10702"/>
    <n v="10702"/>
    <n v="0.53351573187414503"/>
    <n v="1907.5554035567716"/>
    <n v="29.347006208565716"/>
    <n v="4.8911677014276194"/>
    <m/>
    <n v="4621.5554035567711"/>
    <n v="462.15554035567715"/>
    <n v="0.17028575547372038"/>
    <n v="7.1100852362411873"/>
    <n v="1.1850142060401978"/>
    <n v="41.753846153846155"/>
    <n v="6.9589743589743591"/>
    <n v="47.419746076941195"/>
    <n v="54.529831313182385"/>
    <n v="89.173592230787349"/>
    <n v="7.9032910128235319"/>
    <n v="9.088305218863729"/>
    <n v="14.862265371797891"/>
    <n v="4"/>
    <n v="4.7419746076941198"/>
    <n v="308.22834950011782"/>
  </r>
  <r>
    <s v="Hess"/>
    <x v="10"/>
    <x v="8"/>
    <n v="104"/>
    <n v="54"/>
    <n v="14"/>
    <n v="85.333333333333329"/>
    <n v="512"/>
    <n v="123"/>
    <n v="33"/>
    <n v="0"/>
    <n v="53.5"/>
    <n v="321"/>
    <n v="138.83333333333331"/>
    <n v="833"/>
    <n v="0.61464585834333729"/>
    <n v="0.203125"/>
    <n v="0.6328125"/>
    <n v="0.1640625"/>
    <n v="93"/>
    <n v="23"/>
    <n v="137"/>
    <n v="833"/>
    <n v="-1303"/>
    <n v="138.83333333333334"/>
    <n v="-217.16666666666666"/>
    <n v="-0.61001872659176026"/>
    <m/>
    <n v="-113"/>
    <n v="102"/>
    <n v="0"/>
    <n v="0"/>
    <n v="-11"/>
    <n v="-157"/>
    <n v="45"/>
    <n v="0"/>
    <n v="0"/>
    <n v="-112"/>
    <n v="-42"/>
    <n v="11"/>
    <n v="0"/>
    <n v="0"/>
    <n v="-31"/>
    <n v="-869"/>
    <n v="-144.83333333333331"/>
    <n v="22"/>
    <n v="0"/>
    <n v="210"/>
    <n v="2263"/>
    <n v="2495"/>
    <n v="7405"/>
    <n v="174.33333333333337"/>
    <n v="1046"/>
    <n v="42.476099426386227"/>
    <n v="7.0793499043977057"/>
    <m/>
    <n v="786"/>
    <m/>
    <n v="711"/>
    <n v="711"/>
    <n v="140"/>
    <m/>
    <n v="86.05042016806722"/>
    <m/>
    <n v="138"/>
    <n v="138"/>
    <n v="376"/>
    <m/>
    <n v="231.10684273709481"/>
    <n v="6554"/>
    <n v="6554"/>
    <n v="0.61464585834333729"/>
    <n v="1952.157262905162"/>
    <n v="22.876842924669869"/>
    <n v="3.8128071541116446"/>
    <m/>
    <n v="4447.1572629051625"/>
    <n v="444.71572629051627"/>
    <n v="0.17824277606834318"/>
    <n v="5.211512417466988"/>
    <n v="0.86858540291116459"/>
    <n v="29.23828125"/>
    <n v="4.873046875"/>
    <n v="65.3529423510561"/>
    <n v="70.564454768523092"/>
    <n v="94.5912236010561"/>
    <n v="10.892157058509351"/>
    <n v="11.760742461420516"/>
    <n v="15.765203933509351"/>
    <n v="4"/>
    <n v="6.53529423510561"/>
    <n v="557.67844139567865"/>
  </r>
  <r>
    <s v="Hess"/>
    <x v="10"/>
    <x v="9"/>
    <n v="104"/>
    <n v="45"/>
    <n v="16"/>
    <n v="78.333333333333329"/>
    <n v="470"/>
    <n v="102"/>
    <n v="25"/>
    <n v="0"/>
    <n v="42"/>
    <n v="252"/>
    <n v="120.33333333333333"/>
    <n v="722"/>
    <n v="0.65096952908587258"/>
    <n v="0.22127659574468084"/>
    <n v="0.57446808510638303"/>
    <n v="0.20425531914893619"/>
    <n v="110"/>
    <n v="27"/>
    <n v="186"/>
    <n v="1008"/>
    <n v="175"/>
    <n v="168"/>
    <n v="29.166666666666657"/>
    <n v="0.2100840336134453"/>
    <m/>
    <n v="116"/>
    <n v="83"/>
    <n v="0"/>
    <n v="0"/>
    <n v="199"/>
    <n v="42"/>
    <n v="12"/>
    <n v="0"/>
    <n v="0"/>
    <n v="54"/>
    <n v="23"/>
    <n v="5"/>
    <n v="0"/>
    <n v="0"/>
    <n v="28"/>
    <n v="691"/>
    <n v="115.16666666666666"/>
    <n v="11"/>
    <n v="0"/>
    <n v="198"/>
    <n v="818"/>
    <n v="1027"/>
    <n v="6236"/>
    <n v="113.66666666666669"/>
    <n v="682"/>
    <n v="54.86217008797653"/>
    <n v="9.1436950146627574"/>
    <m/>
    <n v="955"/>
    <m/>
    <n v="696"/>
    <n v="696"/>
    <n v="-132"/>
    <m/>
    <n v="-85.927977839335185"/>
    <m/>
    <n v="94"/>
    <n v="94"/>
    <n v="380"/>
    <m/>
    <n v="247.36842105263159"/>
    <n v="4669"/>
    <n v="4669"/>
    <n v="0.65096952908587258"/>
    <n v="1906.4404432132965"/>
    <n v="24.337537572935702"/>
    <n v="4.0562562621559497"/>
    <m/>
    <n v="2933.4404432132965"/>
    <n v="293.34404432132965"/>
    <n v="0.28563198083868513"/>
    <n v="3.7448175870808043"/>
    <n v="0.62413626451346738"/>
    <n v="13.110638297872342"/>
    <n v="2.1851063829787236"/>
    <n v="79.199707660912225"/>
    <n v="82.944525247993028"/>
    <n v="92.310345958784566"/>
    <n v="13.199951276818707"/>
    <n v="13.824087541332174"/>
    <n v="15.385057659797431"/>
    <n v="4"/>
    <n v="7.9199707660912226"/>
    <n v="620.39771001047905"/>
  </r>
  <r>
    <s v="Marathon"/>
    <x v="11"/>
    <x v="0"/>
    <n v="174"/>
    <n v="23"/>
    <m/>
    <n v="52"/>
    <n v="312"/>
    <n v="132"/>
    <n v="46"/>
    <m/>
    <n v="68"/>
    <n v="408"/>
    <n v="120"/>
    <n v="720"/>
    <n v="0.43333333333333335"/>
    <n v="0.55769230769230771"/>
    <n v="0.44230769230769229"/>
    <n v="0"/>
    <n v="31"/>
    <n v="0"/>
    <n v="246"/>
    <n v="432"/>
    <m/>
    <n v="72"/>
    <m/>
    <m/>
    <m/>
    <n v="-36"/>
    <n v="148"/>
    <n v="1"/>
    <n v="0"/>
    <n v="113"/>
    <n v="2"/>
    <n v="5"/>
    <n v="2"/>
    <n v="8"/>
    <n v="17"/>
    <n v="0"/>
    <n v="0"/>
    <n v="0"/>
    <n v="0"/>
    <n v="0"/>
    <n v="215"/>
    <n v="35.833333333333329"/>
    <n v="142"/>
    <n v="4"/>
    <n v="523"/>
    <n v="697"/>
    <n v="1366"/>
    <m/>
    <m/>
    <m/>
    <m/>
    <m/>
    <m/>
    <m/>
    <m/>
    <m/>
    <m/>
    <m/>
    <m/>
    <m/>
    <m/>
    <m/>
    <m/>
    <m/>
    <m/>
    <m/>
    <n v="0"/>
    <n v="0"/>
    <m/>
    <m/>
    <m/>
    <m/>
    <m/>
    <m/>
    <m/>
    <m/>
    <m/>
    <m/>
    <m/>
    <m/>
    <m/>
    <m/>
    <m/>
    <m/>
    <m/>
    <m/>
    <m/>
    <m/>
    <m/>
  </r>
  <r>
    <s v="Marathon"/>
    <x v="11"/>
    <x v="1"/>
    <n v="164"/>
    <n v="23"/>
    <m/>
    <n v="50.333333333333329"/>
    <n v="302"/>
    <n v="183"/>
    <n v="52"/>
    <m/>
    <n v="82.5"/>
    <n v="495"/>
    <n v="132.83333333333331"/>
    <n v="797"/>
    <n v="0.37892095357590966"/>
    <n v="0.54304635761589404"/>
    <n v="0.45695364238410602"/>
    <n v="0"/>
    <n v="41"/>
    <n v="0"/>
    <n v="246"/>
    <n v="492"/>
    <n v="60"/>
    <n v="82"/>
    <n v="10"/>
    <n v="0.1388888888888889"/>
    <m/>
    <n v="79"/>
    <n v="165"/>
    <n v="0"/>
    <n v="0"/>
    <n v="244"/>
    <n v="3"/>
    <n v="31"/>
    <n v="0"/>
    <n v="1"/>
    <n v="35"/>
    <n v="0"/>
    <n v="0"/>
    <n v="0"/>
    <n v="0"/>
    <n v="0"/>
    <n v="454"/>
    <n v="75.666666666666657"/>
    <n v="397"/>
    <n v="3"/>
    <n v="738"/>
    <n v="1072"/>
    <n v="2210"/>
    <m/>
    <m/>
    <m/>
    <m/>
    <m/>
    <m/>
    <m/>
    <m/>
    <m/>
    <m/>
    <m/>
    <m/>
    <m/>
    <m/>
    <m/>
    <m/>
    <m/>
    <m/>
    <m/>
    <n v="0"/>
    <n v="0"/>
    <m/>
    <m/>
    <m/>
    <m/>
    <m/>
    <m/>
    <m/>
    <m/>
    <m/>
    <m/>
    <m/>
    <m/>
    <m/>
    <m/>
    <m/>
    <m/>
    <m/>
    <m/>
    <m/>
    <m/>
    <m/>
  </r>
  <r>
    <s v="Marathon"/>
    <x v="11"/>
    <x v="2"/>
    <n v="146"/>
    <n v="23"/>
    <m/>
    <n v="47.333333333333329"/>
    <n v="284"/>
    <n v="199"/>
    <n v="65"/>
    <m/>
    <n v="98.166666666666657"/>
    <n v="589"/>
    <n v="145.5"/>
    <n v="873"/>
    <n v="0.32531500572737687"/>
    <n v="0.5140845070422535"/>
    <n v="0.48591549295774655"/>
    <n v="0"/>
    <n v="50"/>
    <n v="0"/>
    <n v="168"/>
    <n v="468"/>
    <n v="-24"/>
    <n v="78"/>
    <n v="-4"/>
    <n v="-4.878048780487805E-2"/>
    <m/>
    <n v="-139"/>
    <n v="80"/>
    <n v="0"/>
    <n v="0"/>
    <n v="-59"/>
    <n v="0"/>
    <n v="21"/>
    <n v="0"/>
    <n v="0"/>
    <n v="21"/>
    <n v="0"/>
    <n v="0"/>
    <n v="0"/>
    <n v="0"/>
    <n v="0"/>
    <n v="67"/>
    <n v="11.166666666666666"/>
    <n v="127"/>
    <n v="0"/>
    <n v="271"/>
    <n v="1150"/>
    <n v="1548"/>
    <n v="5124"/>
    <n v="122.66666666666666"/>
    <n v="736"/>
    <n v="41.771739130434788"/>
    <n v="6.9619565217391308"/>
    <m/>
    <n v="816"/>
    <n v="451"/>
    <n v="0"/>
    <n v="54.30322271038338"/>
    <n v="1663"/>
    <n v="0"/>
    <n v="200.23560835336488"/>
    <n v="0"/>
    <m/>
    <n v="0"/>
    <n v="262"/>
    <n v="0"/>
    <n v="31.546439800710523"/>
    <n v="4306"/>
    <n v="11634"/>
    <n v="0.12040625878133787"/>
    <n v="1102.0852708644588"/>
    <n v="23.283491637981527"/>
    <n v="3.8805819396635877"/>
    <m/>
    <n v="2650.0852708644588"/>
    <n v="265.00852708644589"/>
    <n v="0.17119413894473248"/>
    <n v="5.5987716990094212"/>
    <n v="0.93312861650157009"/>
    <n v="32.70422535211268"/>
    <n v="5.450704225352113"/>
    <n v="65.055230768416322"/>
    <n v="70.654002467425741"/>
    <n v="97.759456120528995"/>
    <n v="10.842538461402718"/>
    <n v="11.775667077904288"/>
    <n v="16.29324268675483"/>
    <n v="4"/>
    <n v="6.5055230768416319"/>
    <n v="307.92809230383722"/>
  </r>
  <r>
    <s v="Marathon"/>
    <x v="11"/>
    <x v="3"/>
    <n v="133"/>
    <n v="25"/>
    <m/>
    <n v="47.166666666666671"/>
    <n v="283"/>
    <n v="181"/>
    <n v="73"/>
    <m/>
    <n v="103.16666666666667"/>
    <n v="619"/>
    <n v="150.33333333333334"/>
    <n v="902"/>
    <n v="0.3137472283813747"/>
    <n v="0.46996466431095407"/>
    <n v="0.53003533568904593"/>
    <n v="0"/>
    <n v="49"/>
    <n v="0"/>
    <n v="154"/>
    <n v="448"/>
    <n v="-20"/>
    <n v="74.666666666666671"/>
    <n v="-3.3333333333333286"/>
    <n v="-4.2735042735042673E-2"/>
    <m/>
    <n v="16"/>
    <n v="61"/>
    <n v="1"/>
    <n v="0"/>
    <n v="78"/>
    <n v="-3"/>
    <n v="30"/>
    <n v="1"/>
    <n v="0"/>
    <n v="28"/>
    <n v="0"/>
    <n v="0"/>
    <n v="0"/>
    <n v="0"/>
    <n v="0"/>
    <n v="246"/>
    <n v="41"/>
    <n v="400"/>
    <n v="1"/>
    <n v="520"/>
    <n v="855"/>
    <n v="1776"/>
    <n v="5534"/>
    <n v="127.83333333333333"/>
    <n v="767"/>
    <n v="43.290743155149933"/>
    <n v="7.2151238591916558"/>
    <m/>
    <n v="867"/>
    <n v="491"/>
    <n v="0"/>
    <n v="109.41359841863655"/>
    <n v="2155"/>
    <n v="0"/>
    <n v="480.2165062976818"/>
    <n v="0"/>
    <m/>
    <n v="0"/>
    <n v="375"/>
    <n v="0"/>
    <n v="83.564357244376183"/>
    <n v="5302"/>
    <n v="7465"/>
    <n v="0.22283828598500316"/>
    <n v="1540.1944619606945"/>
    <n v="32.654299546869844"/>
    <n v="5.4423832578116418"/>
    <m/>
    <n v="3316.1944619606948"/>
    <n v="331.61944619606948"/>
    <n v="0.18672266114643551"/>
    <n v="7.0308009794219668"/>
    <n v="1.1718001632369945"/>
    <n v="37.653710247349821"/>
    <n v="6.2756183745583041"/>
    <n v="75.945042702019776"/>
    <n v="82.975843681441745"/>
    <n v="113.5987529493696"/>
    <n v="12.657507117003298"/>
    <n v="13.829307280240293"/>
    <n v="18.933125491561604"/>
    <n v="4"/>
    <n v="7.5945042702019778"/>
    <n v="358.20745141119335"/>
  </r>
  <r>
    <s v="Marathon"/>
    <x v="11"/>
    <x v="4"/>
    <n v="119"/>
    <n v="24.1"/>
    <n v="2.9000000000000004"/>
    <n v="46.833333333333336"/>
    <n v="281"/>
    <n v="191"/>
    <n v="66"/>
    <n v="4.3499999999999996"/>
    <n v="102.18333333333332"/>
    <n v="613.1"/>
    <n v="149.01666666666665"/>
    <n v="894.1"/>
    <n v="0.31428251873392238"/>
    <n v="0.42348754448398579"/>
    <n v="0.51459074733096088"/>
    <n v="6.1921708185053388E-2"/>
    <n v="138"/>
    <n v="0"/>
    <n v="321"/>
    <n v="1149"/>
    <n v="701"/>
    <n v="191.5"/>
    <n v="116.83333333333333"/>
    <n v="1.5647321428571428"/>
    <m/>
    <n v="18"/>
    <n v="109"/>
    <n v="119"/>
    <n v="0"/>
    <n v="246"/>
    <n v="16"/>
    <n v="27"/>
    <n v="89"/>
    <n v="1"/>
    <n v="133"/>
    <n v="0"/>
    <n v="0"/>
    <n v="0"/>
    <n v="0"/>
    <n v="0"/>
    <n v="1044"/>
    <n v="174"/>
    <n v="3271"/>
    <n v="1782"/>
    <n v="782"/>
    <n v="889"/>
    <n v="6724"/>
    <n v="10048"/>
    <n v="226.16666666666666"/>
    <n v="1357"/>
    <n v="44.427413411938097"/>
    <n v="7.4045689019896832"/>
    <m/>
    <n v="1143"/>
    <n v="2614"/>
    <n v="0"/>
    <n v="484.54541865957884"/>
    <n v="2893"/>
    <n v="0"/>
    <n v="536.2623933367106"/>
    <n v="0"/>
    <m/>
    <n v="0"/>
    <n v="228"/>
    <n v="0"/>
    <n v="42.263334144752861"/>
    <n v="5635"/>
    <n v="9554"/>
    <n v="0.18536550063488097"/>
    <n v="2206.0711461410424"/>
    <n v="47.104721981659267"/>
    <n v="7.8507869969432109"/>
    <m/>
    <n v="8930.0711461410428"/>
    <n v="893.00711461410435"/>
    <n v="0.13280891056128857"/>
    <n v="19.067767571831407"/>
    <n v="3.1779612619719018"/>
    <n v="143.5729537366548"/>
    <n v="23.9288256227758"/>
    <n v="91.532135393597372"/>
    <n v="110.59990296542878"/>
    <n v="235.10508913025217"/>
    <n v="15.255355898932894"/>
    <n v="18.433317160904796"/>
    <n v="39.184181521708695"/>
    <n v="4"/>
    <n v="9.1532135393597365"/>
    <n v="428.67550076001436"/>
  </r>
  <r>
    <s v="Marathon"/>
    <x v="11"/>
    <x v="5"/>
    <n v="129"/>
    <n v="32.498400000000004"/>
    <n v="6.5015999999999998"/>
    <n v="60.5"/>
    <n v="363"/>
    <n v="193"/>
    <n v="75.181600000000003"/>
    <n v="3.8184"/>
    <n v="111.16666666666666"/>
    <n v="667"/>
    <n v="171.66666666666666"/>
    <n v="1030"/>
    <n v="0.35242718446601939"/>
    <n v="0.35537190082644626"/>
    <n v="0.5371636363636364"/>
    <n v="0.10746446280991735"/>
    <n v="218"/>
    <n v="59"/>
    <n v="497"/>
    <n v="2159"/>
    <n v="1010"/>
    <n v="359.83333333333331"/>
    <n v="168.33333333333331"/>
    <n v="0.87902523933855514"/>
    <m/>
    <n v="-229"/>
    <n v="224"/>
    <n v="105"/>
    <n v="0"/>
    <n v="100"/>
    <n v="9"/>
    <n v="52"/>
    <n v="2"/>
    <n v="9"/>
    <n v="72"/>
    <n v="0"/>
    <n v="0"/>
    <n v="0"/>
    <n v="0"/>
    <n v="0"/>
    <n v="532"/>
    <n v="88.666666666666671"/>
    <n v="432"/>
    <n v="756"/>
    <n v="1587"/>
    <n v="2469"/>
    <n v="5244"/>
    <n v="13744"/>
    <n v="303.66666666666669"/>
    <n v="1822"/>
    <n v="45.260153677277714"/>
    <n v="7.5433589462129529"/>
    <m/>
    <n v="1247"/>
    <n v="2901"/>
    <n v="0"/>
    <n v="762.43544788371582"/>
    <n v="4974"/>
    <n v="0"/>
    <n v="1307.2574690705283"/>
    <n v="0"/>
    <m/>
    <n v="0"/>
    <n v="244"/>
    <n v="0"/>
    <n v="64.127628157058481"/>
    <n v="8004"/>
    <n v="10733"/>
    <n v="0.26281814818466592"/>
    <n v="3380.8205451113026"/>
    <n v="55.881331324153763"/>
    <n v="9.3135552206922938"/>
    <m/>
    <n v="8624.8205451113026"/>
    <n v="862.48205451113029"/>
    <n v="0.16447026211119953"/>
    <n v="14.255901727456699"/>
    <n v="2.3759836212427832"/>
    <n v="86.67768595041322"/>
    <n v="14.446280991735538"/>
    <n v="101.14148500143148"/>
    <n v="115.39738672888818"/>
    <n v="187.81917095184468"/>
    <n v="16.856914166905248"/>
    <n v="19.23289778814803"/>
    <n v="31.303195158640786"/>
    <n v="4"/>
    <n v="10.114148500143148"/>
    <n v="611.90598425866051"/>
  </r>
  <r>
    <s v="Marathon"/>
    <x v="11"/>
    <x v="6"/>
    <n v="114"/>
    <n v="46"/>
    <n v="9"/>
    <n v="74"/>
    <n v="444"/>
    <n v="197"/>
    <n v="66"/>
    <n v="4"/>
    <n v="102.83333333333334"/>
    <n v="617"/>
    <n v="176.83333333333334"/>
    <n v="1061"/>
    <n v="0.41847313854853913"/>
    <n v="0.25675675675675674"/>
    <n v="0.6216216216216216"/>
    <n v="0.12162162162162163"/>
    <n v="256"/>
    <n v="68"/>
    <n v="485"/>
    <n v="2429"/>
    <n v="270"/>
    <n v="404.83333333333331"/>
    <n v="45"/>
    <n v="0.12505789717461788"/>
    <m/>
    <n v="-4"/>
    <n v="163"/>
    <n v="13"/>
    <n v="0"/>
    <n v="172"/>
    <n v="33"/>
    <n v="112"/>
    <n v="12"/>
    <n v="0"/>
    <n v="157"/>
    <n v="13"/>
    <n v="25"/>
    <n v="2"/>
    <n v="0"/>
    <n v="40"/>
    <n v="1354"/>
    <n v="225.66666666666666"/>
    <n v="157"/>
    <n v="51"/>
    <n v="885"/>
    <n v="2876"/>
    <n v="3969"/>
    <n v="15937"/>
    <n v="488.33333333333337"/>
    <n v="2930"/>
    <n v="32.635494880546069"/>
    <n v="5.4392491467576791"/>
    <m/>
    <n v="1503"/>
    <n v="1503"/>
    <n v="0"/>
    <n v="509.42782953951047"/>
    <n v="3904"/>
    <n v="0"/>
    <n v="1323.2243822503319"/>
    <n v="0"/>
    <m/>
    <n v="0"/>
    <n v="319"/>
    <n v="0"/>
    <n v="108.12207426686882"/>
    <n v="8860"/>
    <n v="10939"/>
    <n v="0.33894067168297437"/>
    <n v="3443.7742860567114"/>
    <n v="46.537490352117722"/>
    <n v="7.7562483920196206"/>
    <m/>
    <n v="7412.7742860567114"/>
    <n v="741.27742860567116"/>
    <n v="0.18676679985025729"/>
    <n v="10.017262548725286"/>
    <n v="1.669543758120881"/>
    <n v="53.635135135135137"/>
    <n v="8.9391891891891895"/>
    <n v="79.172985232663791"/>
    <n v="89.190247781389075"/>
    <n v="132.80812036779892"/>
    <n v="13.1954975387773"/>
    <n v="14.86504129689818"/>
    <n v="22.134686727966489"/>
    <n v="4"/>
    <n v="7.9172985232663793"/>
    <n v="585.88009072171212"/>
  </r>
  <r>
    <s v="Marathon"/>
    <x v="11"/>
    <x v="7"/>
    <n v="113"/>
    <n v="57"/>
    <n v="11"/>
    <n v="86.833333333333329"/>
    <n v="521"/>
    <n v="182"/>
    <n v="46"/>
    <n v="4"/>
    <n v="80.333333333333329"/>
    <n v="482"/>
    <n v="167.16666666666666"/>
    <n v="1003"/>
    <n v="0.51944167497507476"/>
    <n v="0.21689059500959693"/>
    <n v="0.65642994241842612"/>
    <n v="0.12667946257197699"/>
    <n v="340"/>
    <n v="93"/>
    <n v="569"/>
    <n v="3167"/>
    <n v="738"/>
    <n v="527.83333333333337"/>
    <n v="123.00000000000006"/>
    <n v="0.30382873610539329"/>
    <m/>
    <n v="-24"/>
    <n v="290"/>
    <n v="5"/>
    <n v="0"/>
    <n v="271"/>
    <n v="36"/>
    <n v="153"/>
    <n v="6"/>
    <n v="2"/>
    <n v="197"/>
    <n v="4"/>
    <n v="48"/>
    <n v="0"/>
    <n v="1"/>
    <n v="53"/>
    <n v="1771"/>
    <n v="295.16666666666663"/>
    <n v="202"/>
    <n v="26"/>
    <n v="1140"/>
    <n v="3532"/>
    <n v="4900"/>
    <n v="14113"/>
    <n v="609.5"/>
    <n v="3657"/>
    <n v="23.15504511894996"/>
    <n v="3.8591741864916598"/>
    <m/>
    <n v="1737"/>
    <n v="654"/>
    <n v="0"/>
    <n v="268.07800304861945"/>
    <n v="1679"/>
    <n v="0"/>
    <n v="688.23083657283189"/>
    <n v="0"/>
    <m/>
    <n v="0"/>
    <n v="309"/>
    <n v="0"/>
    <n v="126.66070786242112"/>
    <n v="7896"/>
    <n v="10006"/>
    <n v="0.40990520343825604"/>
    <n v="2819.9695474838727"/>
    <n v="32.475656976781643"/>
    <n v="5.4126094961302735"/>
    <m/>
    <n v="7719.9695474838727"/>
    <n v="771.99695474838734"/>
    <n v="0.15755039892824232"/>
    <n v="8.8905599395207755"/>
    <n v="1.4817599899201293"/>
    <n v="56.429942418426108"/>
    <n v="9.4049904030710181"/>
    <n v="55.630702095731607"/>
    <n v="64.521262035252377"/>
    <n v="112.06064451415772"/>
    <n v="9.2717836826219333"/>
    <n v="10.753543672542062"/>
    <n v="18.676774085692951"/>
    <n v="4"/>
    <n v="5.5630702095731603"/>
    <n v="483.05992986460274"/>
  </r>
  <r>
    <s v="Marathon"/>
    <x v="11"/>
    <x v="8"/>
    <n v="128"/>
    <n v="62"/>
    <n v="14"/>
    <n v="97.333333333333329"/>
    <n v="584"/>
    <n v="158"/>
    <n v="29"/>
    <n v="4"/>
    <n v="59.333333333333329"/>
    <n v="356"/>
    <n v="156.66666666666666"/>
    <n v="940"/>
    <n v="0.62127659574468086"/>
    <n v="0.21917808219178081"/>
    <n v="0.63698630136986301"/>
    <n v="0.14383561643835618"/>
    <n v="253"/>
    <n v="80"/>
    <n v="511"/>
    <n v="2509"/>
    <n v="-658"/>
    <n v="418.16666666666669"/>
    <n v="-109.66666666666669"/>
    <n v="-0.20776760341016737"/>
    <m/>
    <n v="-191"/>
    <n v="394"/>
    <n v="1"/>
    <n v="0"/>
    <n v="204"/>
    <n v="-109"/>
    <n v="122"/>
    <n v="0"/>
    <n v="1"/>
    <n v="14"/>
    <n v="-31"/>
    <n v="57"/>
    <n v="0"/>
    <n v="0"/>
    <n v="26"/>
    <n v="444"/>
    <n v="74"/>
    <n v="61"/>
    <n v="4"/>
    <n v="959"/>
    <n v="1477"/>
    <n v="2501"/>
    <n v="11370"/>
    <n v="594.83333333333326"/>
    <n v="3569"/>
    <n v="19.114597926590083"/>
    <n v="3.1857663210983467"/>
    <s v="Includes costs incurred whether capitalized or expensed. "/>
    <n v="1306"/>
    <n v="590"/>
    <n v="0"/>
    <n v="324.80969880080454"/>
    <n v="171"/>
    <n v="0"/>
    <n v="94.139760160911152"/>
    <n v="0"/>
    <m/>
    <n v="0"/>
    <n v="358"/>
    <n v="0"/>
    <n v="197.08791893336954"/>
    <n v="4443"/>
    <n v="5014"/>
    <n v="0.55052491322170261"/>
    <n v="1922.0373778950852"/>
    <n v="19.746959361935808"/>
    <n v="3.2911598936559678"/>
    <m/>
    <n v="4423.0373778950852"/>
    <n v="442.30373778950855"/>
    <n v="0.17685075481387788"/>
    <n v="4.5442164841387864"/>
    <n v="0.75736941402313107"/>
    <n v="25.695205479452056"/>
    <n v="4.2825342465753424"/>
    <n v="38.861557288525887"/>
    <n v="43.405773772664674"/>
    <n v="64.556762767977943"/>
    <n v="6.4769262147543145"/>
    <n v="7.2342956287774456"/>
    <n v="10.759460461329656"/>
    <n v="4"/>
    <n v="3.8861557288525885"/>
    <n v="378.25249094165196"/>
  </r>
  <r>
    <s v="Marathon"/>
    <x v="11"/>
    <x v="9"/>
    <n v="115"/>
    <n v="48"/>
    <n v="14"/>
    <n v="81.166666666666671"/>
    <n v="487"/>
    <n v="163"/>
    <n v="13"/>
    <n v="4"/>
    <n v="44.166666666666671"/>
    <n v="265"/>
    <n v="125.33333333333334"/>
    <n v="752"/>
    <n v="0.64760638297872342"/>
    <n v="0.23613963039014374"/>
    <n v="0.59137577002053388"/>
    <n v="0.17248459958932238"/>
    <n v="325"/>
    <n v="92"/>
    <n v="640"/>
    <n v="3142"/>
    <n v="633"/>
    <n v="523.66666666666663"/>
    <n v="105.49999999999994"/>
    <n v="0.25229174970107598"/>
    <m/>
    <n v="-146"/>
    <n v="362"/>
    <n v="61"/>
    <n v="0"/>
    <n v="277"/>
    <n v="-97"/>
    <n v="189"/>
    <n v="12"/>
    <n v="0"/>
    <n v="104"/>
    <n v="-51"/>
    <n v="54"/>
    <n v="12"/>
    <n v="0"/>
    <n v="15"/>
    <n v="991"/>
    <n v="165.16666666666666"/>
    <n v="642"/>
    <n v="276"/>
    <n v="525"/>
    <n v="456"/>
    <n v="1899"/>
    <n v="9300"/>
    <n v="534.33333333333326"/>
    <n v="3206"/>
    <n v="17.404865876481601"/>
    <n v="2.9008109794135994"/>
    <m/>
    <n v="973"/>
    <n v="484"/>
    <m/>
    <n v="289.12878455072189"/>
    <n v="84"/>
    <n v="0"/>
    <n v="50.179375831117021"/>
    <n v="0"/>
    <m/>
    <n v="0"/>
    <n v="402"/>
    <n v="0"/>
    <n v="240.14415576320289"/>
    <n v="3306"/>
    <n v="3584"/>
    <n v="0.59737352179901215"/>
    <n v="1552.4523161450418"/>
    <n v="19.126722580842404"/>
    <n v="3.1877870968070674"/>
    <m/>
    <n v="3451.4523161450416"/>
    <n v="345.14523161450416"/>
    <n v="0.18175104350421492"/>
    <n v="4.2523026482279773"/>
    <n v="0.70871710803799626"/>
    <n v="23.396303901437371"/>
    <n v="3.8993839835728954"/>
    <n v="36.531588457324006"/>
    <n v="40.78389110555198"/>
    <n v="59.927892358761376"/>
    <n v="6.0885980762206664"/>
    <n v="6.7973151842586628"/>
    <n v="9.9879820597935627"/>
    <n v="4"/>
    <n v="3.6531588457324005"/>
    <n v="296.5147263119465"/>
  </r>
  <r>
    <s v="Occidental Petroeum"/>
    <x v="12"/>
    <x v="0"/>
    <n v="216"/>
    <n v="95"/>
    <n v="0"/>
    <n v="131"/>
    <n v="786"/>
    <n v="45"/>
    <n v="69"/>
    <n v="0"/>
    <n v="76.5"/>
    <n v="459"/>
    <n v="207.5"/>
    <n v="1245"/>
    <n v="0.63132530120481922"/>
    <n v="0.27480916030534353"/>
    <n v="0.72519083969465647"/>
    <n v="0"/>
    <n v="301"/>
    <n v="0"/>
    <n v="675"/>
    <n v="2481"/>
    <m/>
    <n v="413.5"/>
    <m/>
    <m/>
    <m/>
    <n v="35"/>
    <n v="5"/>
    <n v="18"/>
    <n v="406"/>
    <n v="464"/>
    <n v="-20"/>
    <n v="1"/>
    <n v="47"/>
    <n v="114"/>
    <n v="142"/>
    <n v="0"/>
    <n v="0"/>
    <n v="0"/>
    <n v="0"/>
    <n v="0"/>
    <n v="1316"/>
    <n v="219.33333333333331"/>
    <n v="167"/>
    <n v="626"/>
    <n v="39"/>
    <n v="1268"/>
    <n v="2100"/>
    <m/>
    <m/>
    <m/>
    <m/>
    <m/>
    <m/>
    <m/>
    <m/>
    <m/>
    <m/>
    <m/>
    <m/>
    <m/>
    <m/>
    <m/>
    <m/>
    <m/>
    <m/>
    <m/>
    <n v="0"/>
    <n v="0"/>
    <m/>
    <m/>
    <m/>
    <m/>
    <m/>
    <m/>
    <m/>
    <n v="0"/>
    <m/>
    <m/>
    <m/>
    <m/>
    <m/>
    <m/>
    <m/>
    <m/>
    <m/>
    <m/>
    <n v="4"/>
    <m/>
    <m/>
  </r>
  <r>
    <s v="Occidental Petroeum"/>
    <x v="12"/>
    <x v="1"/>
    <n v="215"/>
    <n v="96"/>
    <n v="0"/>
    <n v="131.83333333333334"/>
    <n v="791"/>
    <n v="92"/>
    <n v="75"/>
    <n v="0"/>
    <n v="90.333333333333329"/>
    <n v="542"/>
    <n v="222.16666666666669"/>
    <n v="1333"/>
    <n v="0.5933983495873969"/>
    <n v="0.27180783817951959"/>
    <n v="0.7281921618204803"/>
    <n v="0"/>
    <n v="338"/>
    <n v="0"/>
    <n v="1287"/>
    <n v="3315"/>
    <n v="834"/>
    <n v="552.5"/>
    <n v="139"/>
    <n v="0.33615477629987905"/>
    <m/>
    <n v="-490"/>
    <n v="76"/>
    <n v="832"/>
    <n v="281"/>
    <n v="699"/>
    <n v="-243"/>
    <n v="11"/>
    <n v="71"/>
    <n v="99"/>
    <n v="-62"/>
    <n v="0"/>
    <n v="0"/>
    <n v="0"/>
    <n v="0"/>
    <n v="0"/>
    <n v="327"/>
    <n v="54.5"/>
    <n v="1362"/>
    <n v="1819"/>
    <n v="130"/>
    <n v="1740"/>
    <n v="5051"/>
    <m/>
    <m/>
    <m/>
    <m/>
    <m/>
    <m/>
    <m/>
    <m/>
    <m/>
    <m/>
    <m/>
    <m/>
    <m/>
    <m/>
    <m/>
    <m/>
    <m/>
    <m/>
    <m/>
    <n v="0"/>
    <n v="0"/>
    <m/>
    <m/>
    <m/>
    <m/>
    <m/>
    <m/>
    <m/>
    <n v="0"/>
    <m/>
    <m/>
    <m/>
    <m/>
    <m/>
    <m/>
    <m/>
    <m/>
    <m/>
    <m/>
    <n v="4"/>
    <m/>
    <m/>
  </r>
  <r>
    <s v="Occidental Petroeum"/>
    <x v="12"/>
    <x v="2"/>
    <n v="232"/>
    <n v="81"/>
    <n v="18"/>
    <n v="137.66666666666666"/>
    <n v="826"/>
    <n v="106"/>
    <n v="65"/>
    <n v="4"/>
    <n v="86.666666666666671"/>
    <n v="520"/>
    <n v="224.33333333333331"/>
    <n v="1346"/>
    <n v="0.61367013372956913"/>
    <n v="0.28087167070217917"/>
    <n v="0.58837772397094434"/>
    <n v="0.13075060532687652"/>
    <n v="320"/>
    <n v="0"/>
    <n v="868"/>
    <n v="2788"/>
    <n v="-527"/>
    <n v="464.66666666666663"/>
    <n v="-87.833333333333371"/>
    <n v="-0.15897435897435905"/>
    <m/>
    <n v="-688"/>
    <n v="362"/>
    <n v="67"/>
    <n v="137"/>
    <n v="-122"/>
    <n v="35"/>
    <n v="16"/>
    <n v="13"/>
    <n v="47"/>
    <n v="111"/>
    <n v="23"/>
    <n v="13"/>
    <n v="2"/>
    <n v="9"/>
    <n v="47"/>
    <n v="826"/>
    <n v="137.66666666666669"/>
    <n v="100"/>
    <n v="569"/>
    <n v="131"/>
    <n v="1223"/>
    <n v="2023"/>
    <n v="9174"/>
    <n v="411.5"/>
    <n v="2469"/>
    <n v="22.294046172539488"/>
    <n v="3.7156743620899149"/>
    <m/>
    <n v="1841"/>
    <n v="1300"/>
    <n v="0"/>
    <n v="730.36697321392705"/>
    <n v="1400"/>
    <n v="0"/>
    <n v="786.54904807653691"/>
    <n v="0"/>
    <n v="399"/>
    <n v="399"/>
    <n v="164"/>
    <n v="0"/>
    <n v="92.138602774680038"/>
    <n v="11009"/>
    <n v="12025"/>
    <n v="0.56182074862609777"/>
    <n v="3849.0546240651438"/>
    <n v="27.959234557373929"/>
    <n v="4.6598724262289872"/>
    <m/>
    <n v="5872.0546240651438"/>
    <n v="587.20546240651436"/>
    <n v="0.29026468729931504"/>
    <n v="4.2654149811611219"/>
    <n v="0.71090249686018692"/>
    <n v="14.694915254237289"/>
    <n v="2.4491525423728815"/>
    <n v="50.253280729913413"/>
    <n v="54.518695711074535"/>
    <n v="64.948195984150701"/>
    <n v="8.3755467883189016"/>
    <n v="9.0864492851790892"/>
    <n v="10.824699330691782"/>
    <n v="4"/>
    <n v="5.025328072991341"/>
    <n v="691.82016471514123"/>
  </r>
  <r>
    <s v="Occidental Petroeum"/>
    <x v="12"/>
    <x v="3"/>
    <n v="247"/>
    <n v="80"/>
    <n v="19"/>
    <n v="140.16666666666666"/>
    <n v="841"/>
    <n v="184"/>
    <n v="83"/>
    <n v="5"/>
    <n v="118.66666666666667"/>
    <n v="712"/>
    <n v="258.83333333333331"/>
    <n v="1553"/>
    <n v="0.54153251770766264"/>
    <n v="0.29369797859690844"/>
    <n v="0.57074910820451852"/>
    <n v="0.13555291319857313"/>
    <n v="408"/>
    <n v="0"/>
    <n v="1027"/>
    <n v="3475"/>
    <n v="687"/>
    <n v="579.16666666666663"/>
    <n v="114.5"/>
    <n v="0.24641319942611192"/>
    <m/>
    <n v="-55"/>
    <n v="7"/>
    <n v="186"/>
    <n v="344"/>
    <n v="482"/>
    <n v="0"/>
    <n v="1"/>
    <n v="72"/>
    <n v="82"/>
    <n v="155"/>
    <n v="8"/>
    <n v="0"/>
    <n v="11"/>
    <n v="16"/>
    <n v="35"/>
    <n v="1622"/>
    <n v="270.33333333333331"/>
    <n v="2290"/>
    <n v="2084"/>
    <n v="177"/>
    <n v="1674"/>
    <n v="6225"/>
    <n v="13299"/>
    <n v="462.5"/>
    <n v="2775"/>
    <n v="28.754594594594593"/>
    <n v="4.7924324324324328"/>
    <m/>
    <n v="2189"/>
    <n v="1396"/>
    <n v="0"/>
    <n v="685.35986784919351"/>
    <n v="2400"/>
    <n v="0"/>
    <n v="1178.2691137808486"/>
    <n v="0"/>
    <n v="454"/>
    <n v="454"/>
    <n v="161"/>
    <n v="0"/>
    <n v="79.042219716131925"/>
    <n v="14276"/>
    <n v="15747"/>
    <n v="0.49094546407535355"/>
    <n v="4585.6712013461738"/>
    <n v="32.715846858593395"/>
    <n v="5.4526411430988988"/>
    <m/>
    <n v="10810.671201346173"/>
    <n v="1081.0671201346174"/>
    <n v="0.17366540082483814"/>
    <n v="7.7127261840757493"/>
    <n v="1.2854543640126248"/>
    <n v="44.411414982164096"/>
    <n v="7.4019024970273488"/>
    <n v="61.470441453187988"/>
    <n v="69.183167637263736"/>
    <n v="105.88185643535209"/>
    <n v="10.245073575531332"/>
    <n v="11.530527939543957"/>
    <n v="17.64697607255868"/>
    <n v="4"/>
    <n v="6.1470441453187989"/>
    <n v="861.61068770218492"/>
  </r>
  <r>
    <s v="Occidental Petroeum"/>
    <x v="12"/>
    <x v="4"/>
    <n v="285"/>
    <n v="84"/>
    <n v="25"/>
    <n v="156.5"/>
    <n v="939"/>
    <n v="162"/>
    <n v="80"/>
    <n v="4"/>
    <n v="111"/>
    <n v="666"/>
    <n v="267.5"/>
    <n v="1605"/>
    <n v="0.58504672897196264"/>
    <n v="0.30351437699680511"/>
    <n v="0.53674121405750796"/>
    <n v="0.15974440894568689"/>
    <n v="239"/>
    <n v="35"/>
    <n v="726"/>
    <n v="2370"/>
    <n v="-1105"/>
    <n v="395"/>
    <n v="-184.16666666666663"/>
    <n v="-0.3179856115107913"/>
    <m/>
    <n v="-369"/>
    <n v="35"/>
    <n v="728"/>
    <n v="222"/>
    <n v="616"/>
    <n v="-71"/>
    <n v="8"/>
    <n v="78"/>
    <n v="135"/>
    <n v="150"/>
    <n v="0"/>
    <n v="1"/>
    <n v="2"/>
    <n v="10"/>
    <n v="13"/>
    <n v="1594"/>
    <n v="265.66666666666669"/>
    <n v="1311"/>
    <n v="3185"/>
    <n v="400"/>
    <n v="4100"/>
    <n v="8996"/>
    <n v="17244"/>
    <n v="673.66666666666674"/>
    <n v="4042"/>
    <n v="25.597229094507668"/>
    <n v="4.2662048490846116"/>
    <m/>
    <n v="2922"/>
    <n v="1523"/>
    <n v="0"/>
    <n v="826.12559108644734"/>
    <n v="2900"/>
    <n v="0"/>
    <n v="1573.0559515106352"/>
    <n v="0"/>
    <n v="567"/>
    <n v="567"/>
    <n v="315"/>
    <n v="0"/>
    <n v="170.86642231925865"/>
    <n v="18419"/>
    <n v="19866"/>
    <n v="0.54243308672780521"/>
    <n v="6059.0479649163408"/>
    <n v="38.71596143716512"/>
    <n v="6.4526602395275194"/>
    <s v="LOE = Production costs + Other Operating expenses + Exploration expnse from costs incurred - Exploration expense"/>
    <n v="15055.047964916341"/>
    <n v="1505.5047964916341"/>
    <n v="0.16735268969449024"/>
    <n v="9.6198389552181087"/>
    <n v="1.6033064925363516"/>
    <n v="57.482428115015978"/>
    <n v="9.5804046858359957"/>
    <n v="64.313190531672788"/>
    <n v="73.933029486890902"/>
    <n v="121.79561864668877"/>
    <n v="10.71886508861213"/>
    <n v="12.322171581148481"/>
    <n v="20.299269774448128"/>
    <n v="4"/>
    <n v="6.4313190531672788"/>
    <n v="1006.5014318206792"/>
  </r>
  <r>
    <s v="Occidental Petroeum"/>
    <x v="12"/>
    <x v="5"/>
    <n v="300"/>
    <n v="93"/>
    <n v="27"/>
    <n v="170"/>
    <n v="1020"/>
    <n v="170"/>
    <n v="78"/>
    <n v="3"/>
    <n v="109.33333333333333"/>
    <n v="656"/>
    <n v="279.33333333333331"/>
    <n v="1676"/>
    <n v="0.60859188544152742"/>
    <n v="0.29411764705882354"/>
    <n v="0.54705882352941182"/>
    <n v="0.1588235294117647"/>
    <n v="266"/>
    <n v="32"/>
    <n v="501"/>
    <n v="2289"/>
    <n v="-81"/>
    <n v="381.5"/>
    <n v="-13.5"/>
    <n v="-3.4177215189873419E-2"/>
    <m/>
    <n v="-748"/>
    <n v="19"/>
    <n v="236"/>
    <n v="317"/>
    <n v="-176"/>
    <n v="-70"/>
    <n v="7"/>
    <n v="54"/>
    <n v="143"/>
    <n v="134"/>
    <n v="1"/>
    <n v="0"/>
    <n v="1"/>
    <n v="16"/>
    <n v="18"/>
    <n v="736"/>
    <n v="122.66666666666667"/>
    <n v="573"/>
    <n v="1333"/>
    <n v="379"/>
    <n v="3271"/>
    <n v="5556"/>
    <n v="20777"/>
    <n v="658.66666666666663"/>
    <n v="3952"/>
    <n v="31.544028340080974"/>
    <n v="5.2573380566801617"/>
    <m/>
    <n v="1710"/>
    <n v="1366"/>
    <n v="0"/>
    <n v="771.45929850568382"/>
    <n v="2300"/>
    <n v="0"/>
    <n v="1298.9431819641823"/>
    <n v="0"/>
    <n v="644"/>
    <n v="644"/>
    <n v="290"/>
    <n v="0"/>
    <n v="163.77979250852732"/>
    <n v="14997"/>
    <n v="16161"/>
    <n v="0.56475790520181834"/>
    <n v="4588.1822729783935"/>
    <n v="26.989307488108196"/>
    <n v="4.4982179146846999"/>
    <s v="LOE = Production costs + Other Operating expenses + Exploration expnse from costs incurred - Exploration expense"/>
    <n v="10144.182272978393"/>
    <n v="1014.4182272978393"/>
    <n v="0.18258067445965429"/>
    <n v="5.9671660429284668"/>
    <n v="0.99452767382141105"/>
    <n v="32.682352941176468"/>
    <n v="5.447058823529412"/>
    <n v="58.533335828189166"/>
    <n v="64.500501871117635"/>
    <n v="91.215688769365642"/>
    <n v="9.7555559713648616"/>
    <n v="10.750083645186272"/>
    <n v="15.202614794894274"/>
    <n v="4"/>
    <n v="5.8533335828189168"/>
    <n v="995.06670907921591"/>
  </r>
  <r>
    <s v="Occidental Petroeum"/>
    <x v="12"/>
    <x v="6"/>
    <n v="289"/>
    <n v="97"/>
    <n v="28"/>
    <n v="173.16666666666666"/>
    <n v="1039"/>
    <n v="163"/>
    <n v="75"/>
    <n v="3"/>
    <n v="105.16666666666667"/>
    <n v="631"/>
    <n v="278.33333333333331"/>
    <n v="1670"/>
    <n v="0.6221556886227545"/>
    <n v="0.27815206929740133"/>
    <n v="0.56015399422521661"/>
    <n v="0.16169393647738212"/>
    <n v="309"/>
    <n v="53"/>
    <n v="517"/>
    <n v="2689"/>
    <n v="400"/>
    <n v="448.16666666666669"/>
    <n v="66.666666666666686"/>
    <n v="0.17474879860200965"/>
    <m/>
    <n v="-94"/>
    <n v="14"/>
    <n v="34"/>
    <n v="303"/>
    <n v="257"/>
    <n v="-44"/>
    <n v="4"/>
    <n v="25"/>
    <n v="214"/>
    <n v="199"/>
    <n v="66"/>
    <n v="0"/>
    <n v="7"/>
    <n v="13"/>
    <n v="86"/>
    <n v="1967"/>
    <n v="327.83333333333337"/>
    <n v="151"/>
    <n v="343"/>
    <n v="293"/>
    <n v="2659"/>
    <n v="3446"/>
    <n v="17998"/>
    <n v="716.16666666666674"/>
    <n v="4297"/>
    <n v="25.131021643006747"/>
    <n v="4.1885036071677915"/>
    <m/>
    <n v="2039"/>
    <n v="1544"/>
    <n v="0"/>
    <n v="891.1054717386379"/>
    <n v="1800"/>
    <n v="0"/>
    <n v="1038.8535292289821"/>
    <n v="0"/>
    <n v="693"/>
    <n v="693"/>
    <n v="375"/>
    <n v="0"/>
    <n v="216.42781858937124"/>
    <n v="15052"/>
    <n v="16226"/>
    <n v="0.57714084957165668"/>
    <n v="4878.3868195569912"/>
    <n v="28.171627446912368"/>
    <n v="4.695271241152061"/>
    <s v="LOE = Production costs + Other Operating expenses + Exploration expnse from costs incurred - Exploration expense"/>
    <n v="8324.3868195569921"/>
    <n v="832.43868195569928"/>
    <n v="0.24156665175731262"/>
    <n v="4.8071531200521616"/>
    <n v="0.80119218667536019"/>
    <n v="19.899903753609241"/>
    <n v="3.31665062560154"/>
    <n v="53.302649089919115"/>
    <n v="58.109802209971278"/>
    <n v="73.202552843528352"/>
    <n v="8.8837748483198524"/>
    <n v="9.6849670349952124"/>
    <n v="12.200425473921392"/>
    <n v="4"/>
    <n v="5.3302649089919116"/>
    <n v="923.02420674043265"/>
  </r>
  <r>
    <s v="Occidental Petroeum"/>
    <x v="12"/>
    <x v="7"/>
    <n v="173"/>
    <n v="67"/>
    <n v="20"/>
    <n v="115.83333333333333"/>
    <n v="695"/>
    <n v="158"/>
    <n v="74"/>
    <n v="2"/>
    <n v="102.33333333333333"/>
    <n v="614"/>
    <n v="218.16666666666666"/>
    <n v="1309"/>
    <n v="0.53093964858670739"/>
    <n v="0.24892086330935251"/>
    <n v="0.57841726618705036"/>
    <n v="0.17266187050359713"/>
    <n v="454"/>
    <n v="75"/>
    <n v="586"/>
    <n v="3760"/>
    <n v="1071"/>
    <n v="626.66666666666663"/>
    <n v="178.49999999999994"/>
    <n v="0.39828932688731855"/>
    <m/>
    <n v="-111"/>
    <n v="27"/>
    <n v="46"/>
    <n v="284"/>
    <n v="246"/>
    <n v="-54"/>
    <n v="15"/>
    <n v="33"/>
    <n v="224"/>
    <n v="218"/>
    <n v="6"/>
    <n v="2"/>
    <n v="3"/>
    <n v="6"/>
    <n v="17"/>
    <n v="1656"/>
    <n v="276"/>
    <n v="842"/>
    <n v="771"/>
    <n v="379"/>
    <n v="3665"/>
    <n v="5657"/>
    <n v="14659"/>
    <n v="726.5"/>
    <n v="4359"/>
    <n v="20.177563661390227"/>
    <n v="3.3629272768983713"/>
    <m/>
    <n v="2271"/>
    <n v="1503"/>
    <n v="0"/>
    <n v="726.3110566837122"/>
    <n v="2900"/>
    <n v="0"/>
    <n v="1401.398579096983"/>
    <n v="0"/>
    <n v="529"/>
    <n v="529"/>
    <n v="399"/>
    <n v="0"/>
    <n v="192.8131148481711"/>
    <n v="13910"/>
    <n v="15283"/>
    <n v="0.48324088934378723"/>
    <n v="5120.5227506288666"/>
    <n v="44.205951803990217"/>
    <n v="7.367658633998369"/>
    <m/>
    <n v="10777.522750628867"/>
    <n v="1077.7522750628866"/>
    <n v="0.19051657681861173"/>
    <n v="9.3043361875932664"/>
    <n v="1.5507226979322108"/>
    <n v="48.83741007194245"/>
    <n v="8.1395683453237417"/>
    <n v="64.383515465380441"/>
    <n v="73.687851652973706"/>
    <n v="113.2209255373229"/>
    <n v="10.730585910896741"/>
    <n v="12.281308608828951"/>
    <n v="18.870154256220481"/>
    <n v="4"/>
    <n v="6.4383515465380441"/>
    <n v="745.77572080732341"/>
  </r>
  <r>
    <s v="Occidental Petroeum"/>
    <x v="12"/>
    <x v="8"/>
    <n v="155"/>
    <n v="73"/>
    <n v="20"/>
    <n v="118.83333333333333"/>
    <n v="713"/>
    <n v="205"/>
    <n v="86"/>
    <n v="7"/>
    <n v="127.16666666666666"/>
    <n v="763"/>
    <n v="246"/>
    <n v="1476"/>
    <n v="0.48306233062330622"/>
    <n v="0.21739130434782608"/>
    <n v="0.61430575035063117"/>
    <n v="0.16830294530154277"/>
    <n v="242"/>
    <n v="45"/>
    <n v="206"/>
    <n v="1928"/>
    <n v="-1832"/>
    <n v="321.33333333333331"/>
    <n v="-305.33333333333331"/>
    <n v="-0.48723404255319147"/>
    <m/>
    <n v="-600"/>
    <n v="0"/>
    <n v="0"/>
    <n v="123"/>
    <n v="-477"/>
    <n v="-220"/>
    <n v="0"/>
    <n v="0"/>
    <n v="81"/>
    <n v="-139"/>
    <n v="-28"/>
    <n v="0"/>
    <n v="0"/>
    <n v="12"/>
    <n v="-16"/>
    <n v="-1407"/>
    <n v="-234.5"/>
    <n v="25"/>
    <n v="37"/>
    <n v="74"/>
    <n v="2880"/>
    <n v="3016"/>
    <n v="12119"/>
    <n v="369.33333333333337"/>
    <n v="2216"/>
    <n v="32.813176895306853"/>
    <n v="5.4688628158844761"/>
    <m/>
    <n v="1571"/>
    <n v="1270"/>
    <n v="0"/>
    <n v="554.04176005870988"/>
    <n v="1000"/>
    <n v="0"/>
    <n v="436.2533543769369"/>
    <n v="0"/>
    <n v="307"/>
    <n v="307"/>
    <n v="384"/>
    <n v="0"/>
    <n v="167.52128808074377"/>
    <n v="8304"/>
    <n v="9195"/>
    <n v="0.43625335437693691"/>
    <n v="3035.8164025163906"/>
    <n v="25.546842096912123"/>
    <n v="4.2578070161520207"/>
    <m/>
    <n v="6051.8164025163906"/>
    <n v="605.18164025163912"/>
    <n v="0.20065704252375302"/>
    <n v="5.0926926248384783"/>
    <n v="0.84878210413974631"/>
    <n v="25.380084151472651"/>
    <n v="4.2300140252454419"/>
    <n v="58.360018992218976"/>
    <n v="63.452711617057453"/>
    <n v="83.740103143691627"/>
    <n v="9.7266698320364959"/>
    <n v="10.575451936176242"/>
    <n v="13.956683857281938"/>
    <n v="4"/>
    <n v="5.8360018992218974"/>
    <n v="693.51155902420214"/>
  </r>
  <r>
    <s v="Occidental Petroeum"/>
    <x v="12"/>
    <x v="9"/>
    <n v="132"/>
    <n v="69"/>
    <n v="19"/>
    <n v="110"/>
    <n v="660"/>
    <n v="217"/>
    <n v="74"/>
    <n v="11"/>
    <n v="121.16666666666666"/>
    <n v="727"/>
    <n v="231.16666666666666"/>
    <n v="1387"/>
    <n v="0.47584715212689255"/>
    <n v="0.2"/>
    <n v="0.62727272727272732"/>
    <n v="0.17272727272727273"/>
    <n v="290"/>
    <n v="70"/>
    <n v="337"/>
    <n v="2497"/>
    <n v="569"/>
    <n v="416.16666666666669"/>
    <n v="94.833333333333371"/>
    <n v="0.29512448132780095"/>
    <m/>
    <n v="-1.9E-2"/>
    <n v="0"/>
    <n v="128"/>
    <n v="138"/>
    <n v="265.98099999999999"/>
    <n v="-90"/>
    <n v="0"/>
    <n v="90"/>
    <n v="114"/>
    <n v="114"/>
    <n v="1"/>
    <n v="0"/>
    <n v="26"/>
    <n v="28"/>
    <n v="55"/>
    <n v="1279.981"/>
    <n v="213.33016666666666"/>
    <n v="1265"/>
    <n v="797"/>
    <n v="13"/>
    <n v="1417"/>
    <n v="3492"/>
    <n v="12165"/>
    <n v="254.83016666666666"/>
    <n v="1528.981"/>
    <n v="47.737676269358481"/>
    <n v="7.9562793782264132"/>
    <m/>
    <n v="1335"/>
    <n v="1330"/>
    <n v="0"/>
    <n v="574.82620631256907"/>
    <n v="300"/>
    <n v="0"/>
    <n v="129.66004653666974"/>
    <n v="0"/>
    <n v="240"/>
    <n v="240"/>
    <n v="376"/>
    <n v="0"/>
    <n v="162.50725832595938"/>
    <n v="6377"/>
    <n v="7021"/>
    <n v="0.43220015512223242"/>
    <n v="2441.9935111751984"/>
    <n v="22.19994101068362"/>
    <n v="3.6999901684472705"/>
    <m/>
    <n v="5933.9935111751984"/>
    <n v="593.39935111751981"/>
    <n v="0.1699310856579381"/>
    <n v="5.3945395556138163"/>
    <n v="0.89908992593563608"/>
    <n v="31.745454545454546"/>
    <n v="5.290909090909091"/>
    <n v="69.937617280042105"/>
    <n v="75.332156835655923"/>
    <n v="101.68307182549665"/>
    <n v="11.656269546673684"/>
    <n v="12.55535947260932"/>
    <n v="16.947178637582773"/>
    <n v="4"/>
    <n v="6.9937617280042108"/>
    <n v="769.31379008046315"/>
  </r>
  <r>
    <s v="Pioneer Natural Resources"/>
    <x v="13"/>
    <x v="0"/>
    <n v="132.84"/>
    <n v="6.8040000000000003"/>
    <n v="6.7709999999999999"/>
    <n v="35.715000000000003"/>
    <n v="214.29"/>
    <n v="18.249000000000002"/>
    <n v="2.48"/>
    <n v="0.13600000000000001"/>
    <n v="5.6575000000000006"/>
    <n v="33.945000000000007"/>
    <n v="41.372500000000002"/>
    <n v="248.23500000000001"/>
    <n v="0.86325457731584987"/>
    <n v="0.61990760184796312"/>
    <n v="0.19050818983620327"/>
    <n v="0.18958420831583367"/>
    <n v="154.81"/>
    <n v="58.209000000000003"/>
    <n v="926.97500000000002"/>
    <n v="2205.0889999999999"/>
    <m/>
    <n v="367.51483333333334"/>
    <m/>
    <m/>
    <m/>
    <n v="35.542000000000002"/>
    <n v="131.27699999999999"/>
    <n v="184.47800000000001"/>
    <n v="0"/>
    <n v="351.29700000000003"/>
    <n v="11.759"/>
    <n v="18.646999999999998"/>
    <n v="9.5839999999999996"/>
    <n v="0"/>
    <n v="39.989999999999995"/>
    <n v="3.8119999999999998"/>
    <n v="4.0449999999999999"/>
    <n v="10.093999999999999"/>
    <n v="0"/>
    <n v="17.951000000000001"/>
    <n v="698.94299999999998"/>
    <n v="116.4905"/>
    <n v="200.767"/>
    <n v="331.52600000000001"/>
    <n v="334.71000000000004"/>
    <n v="1038.4000000000001"/>
    <n v="1905.4030000000002"/>
    <m/>
    <m/>
    <m/>
    <m/>
    <m/>
    <s v="Additions include oil and purchases; excludes sales. Capital excludes asset retirement obligations."/>
    <m/>
    <m/>
    <m/>
    <m/>
    <m/>
    <m/>
    <m/>
    <m/>
    <m/>
    <m/>
    <m/>
    <m/>
    <m/>
    <n v="0"/>
    <n v="0"/>
    <m/>
    <m/>
    <m/>
    <m/>
    <m/>
    <m/>
    <m/>
    <n v="0"/>
    <m/>
    <m/>
    <m/>
    <m/>
    <m/>
    <m/>
    <m/>
    <m/>
    <m/>
    <m/>
    <n v="4"/>
    <m/>
    <m/>
  </r>
  <r>
    <s v="Pioneer Natural Resources"/>
    <x v="13"/>
    <x v="1"/>
    <n v="154.274"/>
    <n v="8.0679999999999996"/>
    <n v="6.984"/>
    <n v="40.764333333333333"/>
    <n v="244.58600000000001"/>
    <n v="4.6109999999999998"/>
    <n v="3.141"/>
    <n v="0"/>
    <n v="3.9095"/>
    <n v="23.457000000000001"/>
    <n v="44.673833333333334"/>
    <n v="268.04300000000001"/>
    <n v="0.91248792171405335"/>
    <n v="0.63075564423147679"/>
    <n v="0.19791811469176485"/>
    <n v="0.17132624107675828"/>
    <n v="174.393"/>
    <n v="63.079000000000001"/>
    <n v="1009.31"/>
    <n v="2434.1419999999998"/>
    <n v="229.05299999999988"/>
    <n v="405.69033333333334"/>
    <n v="38.1755"/>
    <n v="0.10387471888889745"/>
    <m/>
    <n v="-92.793999999999997"/>
    <n v="202.28399999999999"/>
    <n v="58.758000000000003"/>
    <n v="0"/>
    <n v="168.24799999999999"/>
    <n v="-8.577"/>
    <n v="17.196000000000002"/>
    <n v="2.4249999999999998"/>
    <n v="0"/>
    <n v="11.044"/>
    <n v="-6.077"/>
    <n v="5.8410000000000002"/>
    <n v="2.0449999999999999"/>
    <n v="0"/>
    <n v="1.8090000000000002"/>
    <n v="245.36600000000001"/>
    <n v="40.894333333333329"/>
    <n v="50.125999999999998"/>
    <n v="85.245000000000005"/>
    <n v="321.33699999999999"/>
    <n v="838.23900000000003"/>
    <n v="1294.9470000000001"/>
    <m/>
    <m/>
    <m/>
    <m/>
    <m/>
    <s v="Additions include oil and purchases; excludes sales. Capital excludes asset retirement obligations."/>
    <m/>
    <m/>
    <m/>
    <m/>
    <m/>
    <m/>
    <m/>
    <m/>
    <m/>
    <m/>
    <m/>
    <m/>
    <m/>
    <n v="0"/>
    <n v="0"/>
    <m/>
    <m/>
    <m/>
    <m/>
    <m/>
    <m/>
    <m/>
    <n v="0"/>
    <m/>
    <m/>
    <m/>
    <m/>
    <m/>
    <m/>
    <m/>
    <m/>
    <m/>
    <m/>
    <n v="4"/>
    <m/>
    <m/>
  </r>
  <r>
    <s v="Pioneer Natural Resources"/>
    <x v="13"/>
    <x v="2"/>
    <n v="147.47300000000001"/>
    <n v="9.3149999999999995"/>
    <n v="7.1929999999999996"/>
    <n v="41.086833333333331"/>
    <n v="246.52100000000002"/>
    <n v="9.93"/>
    <n v="2.52"/>
    <n v="0"/>
    <n v="4.1749999999999998"/>
    <n v="25.05"/>
    <n v="45.261833333333328"/>
    <n v="271.57100000000003"/>
    <n v="0.90775892860430607"/>
    <n v="0.59821678477695617"/>
    <n v="0.22671496545933206"/>
    <n v="0.17506824976371183"/>
    <n v="181.07300000000001"/>
    <n v="63.819000000000003"/>
    <n v="779.07899999999995"/>
    <n v="2248.431"/>
    <n v="-185.71099999999979"/>
    <n v="374.73849999999999"/>
    <n v="-30.951833333333354"/>
    <n v="-7.6294234272281616E-2"/>
    <m/>
    <n v="-335.00599999999997"/>
    <n v="18.864999999999998"/>
    <n v="0"/>
    <n v="0"/>
    <n v="-316.14099999999996"/>
    <n v="21.91"/>
    <n v="10.413"/>
    <n v="0"/>
    <n v="0"/>
    <n v="32.323"/>
    <n v="8.2629999999999999"/>
    <n v="1.2290000000000001"/>
    <n v="0"/>
    <n v="0"/>
    <n v="9.4920000000000009"/>
    <n v="-65.250999999999976"/>
    <n v="-10.875166666666662"/>
    <n v="80.087999999999994"/>
    <n v="8.77"/>
    <n v="89.668999999999997"/>
    <n v="235.679"/>
    <n v="414.20600000000002"/>
    <n v="3614.5560000000005"/>
    <n v="146.50966666666665"/>
    <n v="879.05799999999999"/>
    <n v="24.671109301092766"/>
    <n v="4.1118515501821271"/>
    <s v="Additions include oil and purchases; excludes sales. Capital excludes asset retirement obligations."/>
    <n v="345.9"/>
    <m/>
    <n v="140"/>
    <n v="140"/>
    <n v="-11.703999999999999"/>
    <n v="0"/>
    <n v="-10.624410500384798"/>
    <m/>
    <n v="98.4"/>
    <n v="98.4"/>
    <m/>
    <n v="183.00399999999999"/>
    <n v="183.00399999999999"/>
    <n v="1402.4359999999999"/>
    <n v="1402.4359999999999"/>
    <n v="0.90775892860430607"/>
    <n v="756.67958949961519"/>
    <n v="18.416595490841313"/>
    <n v="3.0694325818068853"/>
    <s v="Excludes asset retirement obligations. Includes hurricane activity and other; Net Operating Loss"/>
    <n v="1170.8855894996152"/>
    <n v="117.08855894996152"/>
    <n v="0.282681947991969"/>
    <n v="2.8497829949568967"/>
    <n v="0.4749638324928161"/>
    <n v="10.081234458727655"/>
    <n v="1.6802057431212756"/>
    <n v="43.08770479193408"/>
    <n v="45.937487786890976"/>
    <n v="53.168939250661737"/>
    <n v="7.1812841319890124"/>
    <n v="7.6562479644818282"/>
    <n v="8.8614898751102871"/>
    <n v="4"/>
    <n v="4.3087704791934076"/>
    <n v="177.03373455020633"/>
  </r>
  <r>
    <s v="Pioneer Natural Resources"/>
    <x v="13"/>
    <x v="3"/>
    <n v="139.65799999999999"/>
    <n v="10.297000000000001"/>
    <n v="7.2030000000000003"/>
    <n v="40.776333333333334"/>
    <n v="244.65800000000002"/>
    <n v="11.902000000000001"/>
    <n v="2.0059999999999998"/>
    <n v="0"/>
    <n v="3.9896666666666665"/>
    <n v="23.937999999999999"/>
    <n v="44.765999999999998"/>
    <n v="268.596"/>
    <n v="0.91087730271485801"/>
    <n v="0.57082948442315384"/>
    <n v="0.25252393136541623"/>
    <n v="0.17664658421142984"/>
    <n v="207.99299999999999"/>
    <n v="75.433000000000007"/>
    <n v="898.91099999999994"/>
    <n v="2599.4670000000001"/>
    <n v="351.03600000000006"/>
    <n v="433.24450000000002"/>
    <n v="58.506000000000029"/>
    <n v="0.15612487107676429"/>
    <m/>
    <n v="188.10900000000001"/>
    <n v="155.44800000000001"/>
    <n v="3.3639999999999999"/>
    <n v="0"/>
    <n v="346.92099999999999"/>
    <n v="12.897"/>
    <n v="31.428000000000001"/>
    <n v="1.944"/>
    <n v="9.7159999999999993"/>
    <n v="55.985000000000007"/>
    <n v="19.291"/>
    <n v="15.669"/>
    <n v="0.55500000000000005"/>
    <n v="0"/>
    <n v="35.515000000000001"/>
    <n v="895.92100000000005"/>
    <n v="149.32016666666669"/>
    <n v="175.00700000000001"/>
    <n v="6.56"/>
    <n v="239.36600000000001"/>
    <n v="671.30099999999993"/>
    <n v="1092.2339999999999"/>
    <n v="2801.3870000000002"/>
    <n v="179.33933333333337"/>
    <n v="1076.0360000000001"/>
    <n v="15.620594478251654"/>
    <n v="2.6034324130419431"/>
    <s v="Additions include oil and purchases; excludes sales. Capital excludes asset retirement obligations."/>
    <n v="364.8"/>
    <m/>
    <n v="165"/>
    <n v="165"/>
    <n v="9.8640000000000008"/>
    <n v="0"/>
    <n v="8.9848937139793605"/>
    <m/>
    <n v="112.1"/>
    <n v="112.1"/>
    <m/>
    <n v="198.32599999999999"/>
    <n v="198.32599999999999"/>
    <n v="1718.297"/>
    <n v="1718.297"/>
    <n v="0.91087730271485801"/>
    <n v="849.21089371397943"/>
    <n v="20.826072976497301"/>
    <n v="3.4710121627495498"/>
    <s v="Excludes asset retirement obligations. Includes hurricane activity and other; Net Operating Loss"/>
    <n v="1941.4448937139794"/>
    <n v="194.14448937139795"/>
    <n v="0.17774990466456636"/>
    <n v="4.7612051771386499"/>
    <n v="0.79353419618977483"/>
    <n v="26.785978794889189"/>
    <n v="4.4643297991481985"/>
    <n v="36.446667454748955"/>
    <n v="41.207872631887604"/>
    <n v="63.232646249638144"/>
    <n v="6.0744445757914924"/>
    <n v="6.8679787719812673"/>
    <n v="10.538774374939692"/>
    <n v="4"/>
    <n v="3.6446667454748956"/>
    <n v="148.61614610239951"/>
  </r>
  <r>
    <s v="Pioneer Natural Resources"/>
    <x v="13"/>
    <x v="4"/>
    <n v="143.24299999999999"/>
    <n v="14.826000000000001"/>
    <n v="8.2080000000000002"/>
    <n v="46.907833333333329"/>
    <n v="281.447"/>
    <n v="7.6890000000000001"/>
    <n v="0.39300000000000002"/>
    <n v="0"/>
    <n v="1.6745000000000001"/>
    <n v="10.047000000000001"/>
    <n v="48.582333333333331"/>
    <n v="291.49400000000003"/>
    <n v="0.96553273823817976"/>
    <n v="0.50895195187726283"/>
    <n v="0.31606661289692201"/>
    <n v="0.17498143522581519"/>
    <n v="239.79900000000001"/>
    <n v="90.63"/>
    <n v="677.67499999999995"/>
    <n v="2660.2489999999998"/>
    <n v="60.781999999999698"/>
    <n v="443.3748333333333"/>
    <n v="10.130333333333283"/>
    <n v="2.3382485717264229E-2"/>
    <m/>
    <n v="-247.196"/>
    <n v="273.04300000000001"/>
    <n v="4.569"/>
    <n v="0"/>
    <n v="30.416000000000007"/>
    <n v="8.8160000000000007"/>
    <n v="70.864000000000004"/>
    <n v="2.81"/>
    <n v="1.3939999999999999"/>
    <n v="83.884000000000015"/>
    <n v="-5.75"/>
    <n v="39.911999999999999"/>
    <n v="0.86299999999999999"/>
    <n v="0"/>
    <n v="35.024999999999999"/>
    <n v="743.87000000000012"/>
    <n v="123.97833333333335"/>
    <n v="124.32599999999999"/>
    <n v="7.5649999999999995"/>
    <n v="565.97400000000005"/>
    <n v="1456.1190000000001"/>
    <n v="2153.9840000000004"/>
    <n v="3660.4240000000004"/>
    <n v="262.4233333333334"/>
    <n v="1574.5400000000002"/>
    <n v="13.948546242077049"/>
    <n v="2.324757707012842"/>
    <s v="Additions include oil and purchases; excludes sales. Capital excludes asset retirement obligations."/>
    <n v="453.1"/>
    <m/>
    <n v="190"/>
    <n v="190"/>
    <n v="6.9480000000000004"/>
    <n v="0"/>
    <n v="6.7085214652788734"/>
    <m/>
    <n v="147.69999999999999"/>
    <n v="147.69999999999999"/>
    <m/>
    <n v="194.96600000000001"/>
    <n v="194.96600000000001"/>
    <n v="1985"/>
    <n v="1985"/>
    <n v="0.96553273823817976"/>
    <n v="992.47452146527883"/>
    <n v="21.15796980885095"/>
    <n v="3.5263283014751581"/>
    <s v="Excludes asset retirement obligations. Includes hurricane activity and other; Net Operating Loss"/>
    <n v="3146.4585214652793"/>
    <n v="314.64585214652794"/>
    <n v="0.14607622533246667"/>
    <n v="6.7077464420625121"/>
    <n v="1.1179577403437519"/>
    <n v="45.919494611774162"/>
    <n v="7.6532491019623601"/>
    <n v="35.106516050928001"/>
    <n v="41.814262492990515"/>
    <n v="81.026010662702163"/>
    <n v="5.8510860084880001"/>
    <n v="6.9690437488317523"/>
    <n v="13.504335110450359"/>
    <n v="4"/>
    <n v="3.5106516050928001"/>
    <n v="164.6770603830922"/>
  </r>
  <r>
    <s v="Pioneer Natural Resources"/>
    <x v="13"/>
    <x v="5"/>
    <n v="161.197"/>
    <n v="22.99"/>
    <n v="10.913"/>
    <n v="60.769166666666663"/>
    <n v="364.61500000000001"/>
    <n v="0"/>
    <n v="0"/>
    <n v="0"/>
    <n v="0"/>
    <n v="0"/>
    <n v="60.769166666666663"/>
    <n v="364.61500000000001"/>
    <n v="1"/>
    <n v="0.44210194314550966"/>
    <n v="0.37831685476461474"/>
    <n v="0.17958120208987563"/>
    <n v="256.13799999999998"/>
    <n v="97.938999999999993"/>
    <n v="592.27099999999996"/>
    <n v="2716.7330000000002"/>
    <n v="56.484000000000378"/>
    <n v="452.78883333333334"/>
    <n v="9.4140000000000441"/>
    <n v="2.1232598903335842E-2"/>
    <m/>
    <n v="-485.21600000000001"/>
    <n v="320.24299999999999"/>
    <n v="9.4570000000000007"/>
    <n v="0"/>
    <n v="-155.51600000000002"/>
    <n v="-11.157999999999999"/>
    <n v="78.375"/>
    <n v="5.383"/>
    <n v="7.4980000000000002"/>
    <n v="80.097999999999999"/>
    <n v="-17.417000000000002"/>
    <n v="48.421999999999997"/>
    <n v="2.0369999999999999"/>
    <n v="0"/>
    <n v="33.041999999999994"/>
    <n v="523.32399999999984"/>
    <n v="87.220666666666659"/>
    <n v="140.51499999999999"/>
    <n v="16.937999999999999"/>
    <n v="964.62799999999993"/>
    <n v="1824.8110000000001"/>
    <n v="2946.8919999999998"/>
    <n v="6193.1100000000006"/>
    <n v="360.51916666666671"/>
    <n v="2163.1149999999998"/>
    <n v="17.178309983519139"/>
    <n v="2.8630516639198569"/>
    <s v="Additions include oil and purchases; excludes sales. Capital excludes asset retirement obligations."/>
    <n v="532"/>
    <m/>
    <n v="244.196"/>
    <n v="244.196"/>
    <n v="4.2590000000000003"/>
    <n v="0"/>
    <n v="4.2590000000000003"/>
    <m/>
    <n v="169"/>
    <n v="169"/>
    <m/>
    <n v="215"/>
    <n v="215"/>
    <n v="2512"/>
    <n v="2512"/>
    <n v="1"/>
    <n v="1164.4549999999999"/>
    <n v="19.161937934533686"/>
    <n v="3.1936563224222807"/>
    <m/>
    <n v="4111.3469999999998"/>
    <n v="411.13470000000001"/>
    <n v="0.13951468190894001"/>
    <n v="6.7655148581380367"/>
    <n v="1.1275858096896727"/>
    <n v="48.493210646846677"/>
    <n v="8.082201774474445"/>
    <n v="36.340247918052825"/>
    <n v="43.105762776190858"/>
    <n v="84.833458564899502"/>
    <n v="6.056707986342138"/>
    <n v="7.1842937960318105"/>
    <n v="14.138909760816583"/>
    <n v="4"/>
    <n v="3.6340247918052824"/>
    <n v="220.83665824401382"/>
  </r>
  <r>
    <s v="Pioneer Natural Resources"/>
    <x v="13"/>
    <x v="6"/>
    <n v="157.69"/>
    <n v="27.454999999999998"/>
    <n v="12.999000000000001"/>
    <n v="66.73566666666666"/>
    <n v="400.41399999999999"/>
    <n v="0"/>
    <n v="0"/>
    <n v="0"/>
    <n v="0"/>
    <n v="0"/>
    <n v="66.73566666666666"/>
    <n v="400.41399999999999"/>
    <n v="1"/>
    <n v="0.39381739899204327"/>
    <n v="0.41139920182611001"/>
    <n v="0.19478339918184681"/>
    <n v="45.313000000000002"/>
    <n v="13.968"/>
    <n v="71.807000000000002"/>
    <n v="427.49300000000005"/>
    <n v="-2289.2400000000002"/>
    <n v="71.248833333333337"/>
    <n v="-381.54"/>
    <n v="-0.84264445567525414"/>
    <m/>
    <n v="-304.53100000000001"/>
    <n v="205.899"/>
    <n v="0.50900000000000001"/>
    <n v="0"/>
    <n v="-98.123000000000005"/>
    <n v="-184.35900000000001"/>
    <n v="78.921999999999997"/>
    <n v="9.6000000000000002E-2"/>
    <n v="0"/>
    <n v="-105.34100000000001"/>
    <n v="-64.986000000000004"/>
    <n v="38.639000000000003"/>
    <n v="0.123"/>
    <n v="0"/>
    <n v="-26.224"/>
    <n v="-887.51300000000015"/>
    <n v="-147.91883333333334"/>
    <n v="63.161999999999999"/>
    <n v="12.861000000000001"/>
    <n v="1287.912"/>
    <n v="1471.364"/>
    <n v="2835.299"/>
    <n v="7936.1750000000002"/>
    <n v="63.280166666666673"/>
    <n v="379.68099999999981"/>
    <n v="125.41330748707466"/>
    <n v="20.902217914512455"/>
    <s v="Additions include oil and purchases; excludes sales. Capital excludes asset retirement obligations."/>
    <n v="588"/>
    <m/>
    <n v="295.86799999999999"/>
    <n v="295.86799999999999"/>
    <n v="10.362"/>
    <n v="0"/>
    <n v="10.362"/>
    <m/>
    <n v="192"/>
    <n v="192"/>
    <m/>
    <n v="194"/>
    <n v="194"/>
    <n v="3088"/>
    <n v="3088"/>
    <n v="1"/>
    <n v="1280.23"/>
    <n v="19.183594979196535"/>
    <n v="3.1972658298660885"/>
    <m/>
    <n v="4115.5290000000005"/>
    <n v="411.55290000000008"/>
    <n v="0.14515326249541938"/>
    <n v="6.1669107473764671"/>
    <n v="1.0278184578960778"/>
    <n v="42.485512494568127"/>
    <n v="7.0809187490946872"/>
    <n v="144.59690246627119"/>
    <n v="150.76381321364767"/>
    <n v="187.08241496083932"/>
    <n v="24.099483744378546"/>
    <n v="25.127302202274624"/>
    <n v="31.180402493473231"/>
    <n v="4"/>
    <n v="14.459690246627119"/>
    <n v="964.97706840215847"/>
  </r>
  <r>
    <s v="Pioneer Natural Resources"/>
    <x v="13"/>
    <x v="7"/>
    <n v="154.42400000000001"/>
    <n v="32.718000000000004"/>
    <n v="15.760999999999999"/>
    <n v="74.216333333333338"/>
    <n v="445.298"/>
    <n v="0"/>
    <n v="0"/>
    <n v="0"/>
    <n v="0"/>
    <n v="0"/>
    <n v="74.216333333333338"/>
    <n v="445.298"/>
    <n v="1"/>
    <n v="0.34678799365817947"/>
    <n v="0.44084635457603671"/>
    <n v="0.21236565176578379"/>
    <n v="84.891000000000005"/>
    <n v="39.037999999999997"/>
    <n v="182.583"/>
    <n v="926.15699999999993"/>
    <n v="498.66399999999987"/>
    <n v="154.3595"/>
    <n v="83.11066666666666"/>
    <n v="1.1664845974086124"/>
    <m/>
    <n v="-2.5739999999999998"/>
    <n v="275.82499999999999"/>
    <n v="3.2519999999999998"/>
    <n v="0"/>
    <n v="276.50299999999999"/>
    <n v="-46.353999999999999"/>
    <n v="114.864"/>
    <n v="1.139"/>
    <n v="0"/>
    <n v="69.649000000000001"/>
    <n v="-20.125"/>
    <n v="55.987000000000002"/>
    <n v="0.64700000000000002"/>
    <n v="0"/>
    <n v="36.509"/>
    <n v="913.45099999999991"/>
    <n v="152.24183333333332"/>
    <n v="85"/>
    <n v="19"/>
    <n v="1940"/>
    <n v="1531"/>
    <n v="3575"/>
    <n v="9357.1909999999989"/>
    <n v="91.543666666666638"/>
    <n v="549.2619999999996"/>
    <n v="102.21560202599126"/>
    <n v="17.035933670998549"/>
    <m/>
    <n v="693"/>
    <m/>
    <n v="333"/>
    <n v="333"/>
    <n v="-4"/>
    <n v="0"/>
    <n v="-4"/>
    <m/>
    <n v="220"/>
    <n v="220"/>
    <m/>
    <n v="188"/>
    <n v="188"/>
    <n v="3599"/>
    <n v="3599"/>
    <n v="1"/>
    <n v="1430"/>
    <n v="19.267995814039136"/>
    <n v="3.2113326356731897"/>
    <m/>
    <n v="5005"/>
    <n v="500.5"/>
    <n v="0.14000000000000001"/>
    <n v="6.7437985349136982"/>
    <n v="1.1239664224856163"/>
    <n v="48.169989535097841"/>
    <n v="8.0283315891829741"/>
    <n v="121.4835978400304"/>
    <n v="128.22739637494411"/>
    <n v="169.65358737512824"/>
    <n v="20.24726630667174"/>
    <n v="21.371232729157356"/>
    <n v="28.275597895854716"/>
    <n v="4"/>
    <n v="12.14835978400304"/>
    <n v="901.60671918283094"/>
  </r>
  <r>
    <s v="Pioneer Natural Resources"/>
    <x v="13"/>
    <x v="8"/>
    <n v="147.173"/>
    <n v="38.451999999999998"/>
    <n v="14.086"/>
    <n v="77.066833333333335"/>
    <n v="462.40100000000001"/>
    <n v="0"/>
    <n v="0"/>
    <n v="0"/>
    <n v="0"/>
    <n v="0"/>
    <n v="77.066833333333335"/>
    <n v="462.40100000000001"/>
    <n v="1"/>
    <n v="0.31828002102071579"/>
    <n v="0.49894355764801546"/>
    <n v="0.18277642133126876"/>
    <n v="85.466999999999999"/>
    <n v="37.261000000000003"/>
    <n v="202.67400000000001"/>
    <n v="939.04200000000003"/>
    <n v="12.885000000000105"/>
    <n v="156.50700000000001"/>
    <n v="2.147500000000008"/>
    <n v="1.3912328039414536E-2"/>
    <m/>
    <n v="-309.947"/>
    <n v="143.99100000000001"/>
    <n v="0.75900000000000001"/>
    <n v="0"/>
    <n v="-165.197"/>
    <n v="-82.816000000000003"/>
    <n v="80.725999999999999"/>
    <n v="0.44400000000000001"/>
    <n v="0"/>
    <n v="-1.6460000000000035"/>
    <n v="-54.439"/>
    <n v="25.495999999999999"/>
    <n v="0.13200000000000001"/>
    <n v="0"/>
    <n v="-28.811"/>
    <n v="-347.93900000000002"/>
    <n v="-57.989833333333337"/>
    <n v="27"/>
    <n v="9"/>
    <n v="1243"/>
    <n v="794"/>
    <n v="2073"/>
    <n v="8483.2989999999991"/>
    <n v="-53.666833333333358"/>
    <n v="-322.00100000000026"/>
    <n v="-158.07340349874681"/>
    <n v="-26.345567249791124"/>
    <m/>
    <n v="717"/>
    <m/>
    <n v="327"/>
    <n v="327"/>
    <n v="23"/>
    <n v="0"/>
    <n v="23"/>
    <m/>
    <n v="145"/>
    <n v="145"/>
    <m/>
    <n v="191"/>
    <n v="191"/>
    <n v="2178"/>
    <n v="2178"/>
    <n v="1"/>
    <n v="1403"/>
    <n v="18.204977930411051"/>
    <n v="3.0341629884018415"/>
    <m/>
    <n v="3476"/>
    <n v="347.6"/>
    <n v="0.16767969126869273"/>
    <n v="4.5103708685751114"/>
    <n v="0.75172847809585186"/>
    <n v="26.898730755340061"/>
    <n v="4.4831217925566769"/>
    <n v="-139.86842556833577"/>
    <n v="-135.35805469976066"/>
    <n v="-112.9696948129957"/>
    <n v="-23.311404261389281"/>
    <n v="-22.559675783293429"/>
    <n v="-18.828282468832604"/>
    <n v="4"/>
    <n v="-13.986842556833576"/>
    <n v="-1077.9216641870671"/>
  </r>
  <r>
    <s v="Pioneer Natural Resources"/>
    <x v="13"/>
    <x v="9"/>
    <n v="139.51"/>
    <n v="48.926000000000002"/>
    <n v="15.922000000000001"/>
    <n v="88.099666666666664"/>
    <n v="528.59800000000007"/>
    <n v="0"/>
    <n v="0"/>
    <n v="0"/>
    <n v="0"/>
    <n v="0"/>
    <n v="88.099666666666664"/>
    <n v="528.59800000000007"/>
    <n v="1"/>
    <n v="0.26392457027835892"/>
    <n v="0.55534829870714608"/>
    <n v="0.18072713101449495"/>
    <n v="34.680999999999997"/>
    <n v="10.013"/>
    <n v="48.868000000000002"/>
    <n v="317.03199999999998"/>
    <n v="-622.01"/>
    <n v="52.838666666666661"/>
    <n v="-103.66833333333335"/>
    <n v="-0.66238783781769084"/>
    <m/>
    <n v="-76.998000000000005"/>
    <n v="120.76600000000001"/>
    <n v="5.3609999999999998"/>
    <n v="0"/>
    <n v="49.128999999999998"/>
    <n v="-3.9119999999999999"/>
    <n v="117.40600000000001"/>
    <n v="2.5659999999999998"/>
    <n v="0"/>
    <n v="116.06"/>
    <n v="1.2789999999999999"/>
    <n v="24.734999999999999"/>
    <n v="0.74299999999999999"/>
    <n v="0"/>
    <n v="26.756999999999998"/>
    <n v="906.03099999999995"/>
    <n v="151.00516666666667"/>
    <n v="366"/>
    <n v="78"/>
    <n v="1452"/>
    <n v="492"/>
    <n v="2388"/>
    <n v="8036"/>
    <n v="245.25716666666665"/>
    <n v="1471.5429999999999"/>
    <n v="32.765607257144374"/>
    <n v="5.4609345428573954"/>
    <m/>
    <n v="581"/>
    <m/>
    <n v="325"/>
    <n v="325"/>
    <n v="24"/>
    <m/>
    <n v="24"/>
    <m/>
    <n v="136"/>
    <n v="136"/>
    <m/>
    <n v="211"/>
    <n v="211"/>
    <n v="2418"/>
    <n v="2418"/>
    <n v="1"/>
    <n v="1277"/>
    <n v="14.494947010771892"/>
    <n v="2.4158245017953148"/>
    <m/>
    <n v="3665"/>
    <n v="366.5"/>
    <n v="0.15347571189279732"/>
    <n v="4.1600611428722774"/>
    <n v="0.69334352381204611"/>
    <n v="27.105664417950884"/>
    <n v="4.5176107363251461"/>
    <n v="47.260554267916262"/>
    <n v="51.420615410788542"/>
    <n v="74.366218685867153"/>
    <n v="7.8767590446527098"/>
    <n v="8.5701025684647565"/>
    <n v="12.394369780977856"/>
    <n v="4"/>
    <n v="4.7260554267916266"/>
    <n v="416.36390774853334"/>
  </r>
  <r>
    <s v="Range Resources"/>
    <x v="14"/>
    <x v="0"/>
    <n v="90.62"/>
    <n v="4.5049999999999999"/>
    <n v="0"/>
    <n v="19.608333333333334"/>
    <n v="117.65"/>
    <n v="0"/>
    <n v="0"/>
    <n v="0"/>
    <n v="0"/>
    <n v="0"/>
    <n v="19.608333333333334"/>
    <n v="117.65"/>
    <n v="1"/>
    <n v="0.77025074373140667"/>
    <n v="0.22974925626859327"/>
    <n v="0"/>
    <n v="19.645"/>
    <n v="0"/>
    <n v="688.08799999999997"/>
    <n v="805.95799999999997"/>
    <m/>
    <n v="134.32633333333334"/>
    <m/>
    <m/>
    <m/>
    <n v="-0.38600000000000001"/>
    <n v="401.80500000000001"/>
    <n v="121.38200000000001"/>
    <n v="0"/>
    <n v="522.80099999999993"/>
    <n v="2.4319999999999999"/>
    <n v="13.741"/>
    <n v="1.9339999999999999"/>
    <n v="0"/>
    <n v="18.106999999999999"/>
    <n v="0"/>
    <n v="0"/>
    <n v="0"/>
    <n v="0"/>
    <n v="0"/>
    <n v="631.44299999999998"/>
    <n v="105.24049999999998"/>
    <n v="82.646999999999991"/>
    <n v="253.06399999999999"/>
    <n v="82.876000000000005"/>
    <n v="751.20499999999993"/>
    <n v="1169.7919999999999"/>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r>
  <r>
    <s v="Range Resources"/>
    <x v="14"/>
    <x v="1"/>
    <n v="114.32299999999999"/>
    <n v="3.085"/>
    <n v="1.3859999999999999"/>
    <n v="23.524833333333333"/>
    <n v="141.149"/>
    <n v="0"/>
    <n v="0"/>
    <n v="0"/>
    <n v="0"/>
    <n v="0"/>
    <n v="23.524833333333333"/>
    <n v="141.149"/>
    <n v="1"/>
    <n v="0.80994551856548747"/>
    <n v="0.13113801727252761"/>
    <n v="5.8916464161984851E-2"/>
    <n v="24.327000000000002"/>
    <n v="0"/>
    <n v="875.56700000000001"/>
    <n v="1021.529"/>
    <n v="215.57100000000003"/>
    <n v="170.25483333333332"/>
    <n v="35.928499999999985"/>
    <n v="0.26747175411125629"/>
    <m/>
    <n v="-23.396999999999998"/>
    <n v="423.35399999999998"/>
    <n v="95.262"/>
    <n v="0"/>
    <n v="495.21899999999999"/>
    <n v="-4.9459999999999997"/>
    <n v="10.198"/>
    <n v="0"/>
    <n v="0"/>
    <n v="5.2520000000000007"/>
    <n v="1.7909999999999999"/>
    <n v="5.6429999999999998"/>
    <n v="5.2999999999999999E-2"/>
    <n v="0"/>
    <n v="7.4869999999999992"/>
    <n v="571.65300000000002"/>
    <n v="95.275499999999994"/>
    <n v="593.78700000000003"/>
    <n v="251.471"/>
    <n v="196.67600000000002"/>
    <n v="776.32400000000007"/>
    <n v="1818.258"/>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r>
  <r>
    <s v="Range Resources"/>
    <x v="14"/>
    <x v="2"/>
    <n v="130.649"/>
    <n v="2.5569999999999999"/>
    <n v="2.1869999999999998"/>
    <n v="26.518833333333333"/>
    <n v="159.113"/>
    <n v="0"/>
    <n v="0"/>
    <n v="0"/>
    <n v="0"/>
    <n v="0"/>
    <n v="26.518833333333333"/>
    <n v="159.113"/>
    <n v="1"/>
    <n v="0.82110826896608069"/>
    <n v="9.6422039682489802E-2"/>
    <n v="8.246969135142948E-2"/>
    <n v="13.457000000000001"/>
    <n v="25.382000000000001"/>
    <n v="1169.0119999999999"/>
    <n v="1402.0459999999998"/>
    <n v="380.51699999999983"/>
    <n v="233.67433333333332"/>
    <n v="63.419499999999999"/>
    <n v="0.372497501294628"/>
    <m/>
    <n v="-37.497"/>
    <n v="620.11400000000003"/>
    <n v="0"/>
    <n v="0"/>
    <n v="582.61700000000008"/>
    <n v="-1.536"/>
    <n v="3.4790000000000001"/>
    <n v="0"/>
    <n v="0"/>
    <n v="1.9430000000000001"/>
    <n v="8.4339999999999993"/>
    <n v="21.492000000000001"/>
    <n v="0"/>
    <n v="0"/>
    <n v="29.926000000000002"/>
    <n v="773.83100000000013"/>
    <n v="128.97183333333334"/>
    <n v="176.86699999999999"/>
    <n v="0"/>
    <n v="99.203000000000003"/>
    <n v="527.226"/>
    <n v="803.29600000000005"/>
    <n v="3791.3460000000005"/>
    <n v="329.4878333333333"/>
    <n v="1976.9270000000001"/>
    <n v="11.506786037117205"/>
    <n v="1.9177976728528672"/>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35"/>
    <n v="0"/>
    <n v="115"/>
    <n v="115"/>
    <n v="0"/>
    <n v="0.17"/>
    <n v="0.17"/>
    <n v="0"/>
    <n v="26"/>
    <n v="26"/>
    <n v="0"/>
    <n v="108.685"/>
    <n v="108.685"/>
    <n v="751.74900000000002"/>
    <n v="751.74900000000002"/>
    <n v="1"/>
    <n v="384.85500000000002"/>
    <n v="14.512516262027617"/>
    <n v="2.418752710337936"/>
    <s v="G&amp;A Excludes deferred compensation plan. LOE excludes &quot;Brokered Natural Gas and Marketing&quot;"/>
    <n v="1188.1510000000001"/>
    <n v="118.81510000000002"/>
    <n v="0.14790948790981159"/>
    <n v="4.4804044924047695"/>
    <n v="0.74673408206746161"/>
    <n v="30.291528662020077"/>
    <n v="5.048588110336679"/>
    <n v="26.019302299144822"/>
    <n v="30.499706791549592"/>
    <n v="56.310830961164896"/>
    <n v="4.3365503831908034"/>
    <n v="5.0832844652582647"/>
    <n v="9.3851384935274815"/>
    <n v="4"/>
    <n v="2.6019302299144824"/>
    <n v="69.000154112063839"/>
  </r>
  <r>
    <s v="Range Resources"/>
    <x v="14"/>
    <x v="3"/>
    <n v="142.03399999999999"/>
    <n v="1.9690000000000001"/>
    <n v="4.49"/>
    <n v="30.13133333333333"/>
    <n v="180.78799999999998"/>
    <n v="0"/>
    <n v="0"/>
    <n v="0"/>
    <n v="0"/>
    <n v="0"/>
    <n v="30.13133333333333"/>
    <n v="180.78799999999998"/>
    <n v="1"/>
    <n v="0.7856384273292476"/>
    <n v="6.5347257561342575E-2"/>
    <n v="0.14901431510940993"/>
    <n v="6.1890000000000001"/>
    <n v="69.650999999999996"/>
    <n v="1803.76"/>
    <n v="2258.8000000000002"/>
    <n v="856.75400000000036"/>
    <n v="376.4666666666667"/>
    <n v="142.79233333333337"/>
    <n v="0.61107410170565035"/>
    <m/>
    <n v="3.5990000000000002"/>
    <n v="1089.6320000000001"/>
    <n v="124.98099999999999"/>
    <n v="0"/>
    <n v="1218.212"/>
    <n v="-2.6720000000000002"/>
    <n v="4.6630000000000003"/>
    <n v="0"/>
    <n v="0"/>
    <n v="1.9910000000000001"/>
    <n v="26.832000000000001"/>
    <n v="48.792000000000002"/>
    <n v="0"/>
    <n v="0"/>
    <n v="75.623999999999995"/>
    <n v="1683.9019999999998"/>
    <n v="280.65033333333338"/>
    <n v="155.26900000000001"/>
    <n v="130.767"/>
    <n v="110.94"/>
    <n v="747.34699999999998"/>
    <n v="1144.3229999999999"/>
    <n v="3765.877"/>
    <n v="504.89766666666674"/>
    <n v="3029.386"/>
    <n v="7.458693609860215"/>
    <n v="1.243115601643369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59"/>
    <n v="0"/>
    <n v="141"/>
    <n v="141"/>
    <n v="0"/>
    <n v="-1.359"/>
    <n v="-1.359"/>
    <n v="0"/>
    <n v="26"/>
    <n v="26"/>
    <n v="0"/>
    <n v="116.76600000000001"/>
    <n v="116.76600000000001"/>
    <n v="823.29"/>
    <n v="823.29"/>
    <n v="1"/>
    <n v="441.40700000000004"/>
    <n v="14.649434696993167"/>
    <n v="2.4415724494988611"/>
    <s v="G&amp;A Excludes deferred compensation plan. LOE excludes &quot;Brokered Natural Gas and Marketing&quot;"/>
    <n v="1585.73"/>
    <n v="158.57300000000001"/>
    <n v="0.13857363698885719"/>
    <n v="5.2627276146646906"/>
    <n v="0.87712126911078181"/>
    <n v="37.977841449653738"/>
    <n v="6.3296402416089563"/>
    <n v="22.108128306853381"/>
    <n v="27.370855921518071"/>
    <n v="60.085969756507119"/>
    <n v="3.6846880511422304"/>
    <n v="4.5618093202530119"/>
    <n v="10.014328292751188"/>
    <n v="4"/>
    <n v="2.2108128306853381"/>
    <n v="66.614738338990136"/>
  </r>
  <r>
    <s v="Range Resources"/>
    <x v="14"/>
    <x v="4"/>
    <n v="157.001"/>
    <n v="1.968"/>
    <n v="5.5730000000000004"/>
    <n v="33.707833333333333"/>
    <n v="202.24700000000001"/>
    <n v="0"/>
    <n v="0"/>
    <n v="0"/>
    <n v="0"/>
    <n v="0"/>
    <n v="33.707833333333333"/>
    <n v="202.24700000000001"/>
    <n v="1"/>
    <n v="0.77628345537881893"/>
    <n v="5.8384055140496521E-2"/>
    <n v="0.16533248948068452"/>
    <n v="13.66"/>
    <n v="78.043000000000006"/>
    <n v="2102.4670000000001"/>
    <n v="2652.6850000000004"/>
    <n v="393.88500000000022"/>
    <n v="442.11416666666673"/>
    <n v="65.647500000000036"/>
    <n v="0.17437798831237833"/>
    <m/>
    <n v="73.643000000000001"/>
    <n v="1304.3240000000001"/>
    <n v="0"/>
    <n v="0"/>
    <n v="1377.9670000000001"/>
    <n v="6.5220000000000002"/>
    <n v="4.915"/>
    <n v="0"/>
    <n v="0"/>
    <n v="11.437000000000001"/>
    <n v="18.626999999999999"/>
    <n v="26.591000000000001"/>
    <n v="0"/>
    <n v="0"/>
    <n v="45.218000000000004"/>
    <n v="1717.8970000000002"/>
    <n v="286.31616666666667"/>
    <n v="220.57900000000001"/>
    <n v="0"/>
    <n v="304.17899999999997"/>
    <n v="1064.5439999999999"/>
    <n v="1589.3019999999999"/>
    <n v="3536.9209999999998"/>
    <n v="695.93833333333339"/>
    <n v="4175.63"/>
    <n v="5.0822333396397665"/>
    <n v="0.8470388899399611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234"/>
    <n v="0"/>
    <n v="151.19999999999999"/>
    <n v="151.19999999999999"/>
    <n v="0"/>
    <n v="0.67500000000000004"/>
    <n v="0.67500000000000004"/>
    <n v="0"/>
    <n v="27.7"/>
    <n v="27.7"/>
    <n v="0"/>
    <n v="133.10300000000001"/>
    <n v="133.10300000000001"/>
    <n v="1173.2660000000001"/>
    <n v="1173.2660000000001"/>
    <n v="1"/>
    <n v="546.678"/>
    <n v="16.218129317122134"/>
    <n v="2.7030215528536887"/>
    <s v="G&amp;A Excludes deferred compensation plan. LOE excludes &quot;Brokered Natural Gas and Marketing&quot;"/>
    <n v="2135.98"/>
    <n v="213.59800000000001"/>
    <n v="0.13439736437756955"/>
    <n v="6.336746651371838"/>
    <n v="1.0561244418953062"/>
    <n v="47.149337196596235"/>
    <n v="7.8582228660993723"/>
    <n v="21.300362656761902"/>
    <n v="27.637109308133738"/>
    <n v="68.44969985335814"/>
    <n v="3.55006044279365"/>
    <n v="4.6061848846889557"/>
    <n v="11.408283308893022"/>
    <n v="4"/>
    <n v="2.13003626567619"/>
    <n v="71.798907437368726"/>
  </r>
  <r>
    <s v="Range Resources"/>
    <x v="14"/>
    <x v="5"/>
    <n v="216.55500000000001"/>
    <n v="2.851"/>
    <n v="6.9690000000000003"/>
    <n v="45.912500000000001"/>
    <n v="275.47500000000002"/>
    <n v="0"/>
    <n v="0"/>
    <n v="0"/>
    <n v="0"/>
    <n v="0"/>
    <n v="45.912500000000001"/>
    <n v="275.47500000000002"/>
    <n v="1"/>
    <n v="0.78611489245848076"/>
    <n v="6.2096378981758779E-2"/>
    <n v="0.15178872855976042"/>
    <n v="19.414999999999999"/>
    <n v="85.415000000000006"/>
    <n v="2419.0720000000001"/>
    <n v="3048.0520000000001"/>
    <n v="395.36699999999973"/>
    <n v="508.00866666666673"/>
    <n v="65.894499999999994"/>
    <n v="0.14904408175113137"/>
    <m/>
    <n v="76.924999999999997"/>
    <n v="996.05899999999997"/>
    <n v="0"/>
    <n v="0"/>
    <n v="1072.9839999999999"/>
    <n v="2.3159999999999998"/>
    <n v="15.131"/>
    <n v="0"/>
    <n v="0"/>
    <n v="17.446999999999999"/>
    <n v="3.036"/>
    <n v="113.392"/>
    <n v="0"/>
    <n v="0"/>
    <n v="116.428"/>
    <n v="1876.2339999999999"/>
    <n v="312.70566666666662"/>
    <n v="188.84299999999999"/>
    <n v="0"/>
    <n v="375.57399999999996"/>
    <n v="1094.213"/>
    <n v="1658.6299999999999"/>
    <n v="4392.2550000000001"/>
    <n v="879.67216666666661"/>
    <n v="5278.0329999999994"/>
    <n v="4.9930589672326802"/>
    <n v="0.83217649453877995"/>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08.34500000000003"/>
    <n v="0"/>
    <n v="173.8"/>
    <n v="173.8"/>
    <n v="0"/>
    <n v="0.38600000000000001"/>
    <n v="0.38600000000000001"/>
    <n v="0"/>
    <n v="43.099999999999994"/>
    <n v="43.099999999999994"/>
    <n v="0"/>
    <n v="153.249"/>
    <n v="153.249"/>
    <n v="1351.694"/>
    <n v="1351.694"/>
    <n v="1"/>
    <n v="678.88"/>
    <n v="14.786387149469098"/>
    <n v="2.4643978582448498"/>
    <s v="G&amp;A Excludes deferred compensation plan. LOE excludes &quot;Brokered Natural Gas and Marketing&quot;"/>
    <n v="2337.5099999999998"/>
    <n v="233.75099999999998"/>
    <n v="0.14093016525686861"/>
    <n v="5.0912278791178869"/>
    <n v="0.84853797985298107"/>
    <n v="36.125891641709771"/>
    <n v="6.0209819402849618"/>
    <n v="19.779446116701777"/>
    <n v="24.870673995819665"/>
    <n v="55.905337758411548"/>
    <n v="3.2965743527836295"/>
    <n v="4.1451123326366108"/>
    <n v="9.3175562930685913"/>
    <n v="4"/>
    <n v="1.9779446116701778"/>
    <n v="90.812381983307034"/>
  </r>
  <r>
    <s v="Range Resources"/>
    <x v="14"/>
    <x v="6"/>
    <n v="264.52800000000002"/>
    <n v="3.827"/>
    <n v="9.2539999999999996"/>
    <n v="57.168999999999997"/>
    <n v="343.01400000000001"/>
    <n v="0"/>
    <n v="0"/>
    <n v="0"/>
    <n v="0"/>
    <n v="0"/>
    <n v="57.168999999999997"/>
    <n v="343.01400000000001"/>
    <n v="1"/>
    <n v="0.77118718186429713"/>
    <n v="6.6941874092602632E-2"/>
    <n v="0.16187094404310029"/>
    <n v="22.306000000000001"/>
    <n v="167.935"/>
    <n v="2868.1619999999998"/>
    <n v="4009.6079999999997"/>
    <n v="961.55599999999959"/>
    <n v="668.26800000000003"/>
    <n v="160.2593333333333"/>
    <n v="0.31546574664736682"/>
    <m/>
    <n v="384.82499999999999"/>
    <n v="853.74599999999998"/>
    <n v="0"/>
    <n v="0"/>
    <n v="1238.5709999999999"/>
    <n v="2.9350000000000001"/>
    <n v="10.723000000000001"/>
    <n v="0"/>
    <n v="0"/>
    <n v="13.658000000000001"/>
    <n v="7.7430000000000003"/>
    <n v="135.81"/>
    <n v="0"/>
    <n v="0"/>
    <n v="143.553"/>
    <n v="2181.837"/>
    <n v="363.6395"/>
    <n v="137.53800000000001"/>
    <n v="0"/>
    <n v="254.15099999999998"/>
    <n v="985.75400000000002"/>
    <n v="1377.443"/>
    <n v="4625.375"/>
    <n v="962.66133333333323"/>
    <n v="5775.9680000000008"/>
    <n v="4.8047790430971924"/>
    <n v="0.80079650718286521"/>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84.29999999999995"/>
    <n v="0"/>
    <n v="291.2"/>
    <n v="291.2"/>
    <n v="0"/>
    <n v="-0.34699999999999998"/>
    <n v="-0.34699999999999998"/>
    <n v="0"/>
    <n v="45.24"/>
    <n v="45.24"/>
    <n v="0"/>
    <n v="176.55"/>
    <n v="176.55"/>
    <n v="1715.6759999999999"/>
    <n v="1715.6759999999999"/>
    <n v="1"/>
    <n v="896.94299999999998"/>
    <n v="15.689324633979954"/>
    <n v="2.614887438996659"/>
    <s v="G&amp;A Excludes deferred compensation plan. LOE excludes &quot;Brokered Natural Gas and Marketing&quot;"/>
    <n v="2274.386"/>
    <n v="227.43860000000001"/>
    <n v="0.16511652387793907"/>
    <n v="3.9783554024034009"/>
    <n v="0.66305923373390008"/>
    <n v="24.09422939005405"/>
    <n v="4.0157048983423413"/>
    <n v="20.494103677077145"/>
    <n v="24.472459079480547"/>
    <n v="44.588333067131195"/>
    <n v="3.4156839461795241"/>
    <n v="4.0787431799134239"/>
    <n v="7.4313888445218659"/>
    <n v="4"/>
    <n v="2.0494103677077145"/>
    <n v="117.16274131148232"/>
  </r>
  <r>
    <s v="Range Resources"/>
    <x v="14"/>
    <x v="7"/>
    <n v="286.92599999999999"/>
    <n v="4.07"/>
    <n v="18.821000000000002"/>
    <n v="70.712000000000003"/>
    <n v="424.27200000000005"/>
    <n v="0"/>
    <n v="0"/>
    <n v="0"/>
    <n v="0"/>
    <n v="0"/>
    <n v="70.712000000000003"/>
    <n v="424.27200000000005"/>
    <n v="1"/>
    <n v="0.67627842516121728"/>
    <n v="5.7557415997284762E-2"/>
    <n v="0.26616415884149791"/>
    <n v="24.478000000000002"/>
    <n v="245.636"/>
    <n v="3339.7849999999999"/>
    <n v="4960.4690000000001"/>
    <n v="950.86100000000033"/>
    <n v="826.74483333333319"/>
    <n v="158.47683333333316"/>
    <n v="0.23714562620585328"/>
    <m/>
    <n v="-30.565999999999999"/>
    <n v="1393.1079999999999"/>
    <n v="262.81299999999999"/>
    <n v="0"/>
    <n v="1625.355"/>
    <n v="515"/>
    <n v="12.936"/>
    <n v="0"/>
    <n v="0"/>
    <n v="527.93600000000004"/>
    <n v="19.716000000000001"/>
    <n v="154.66399999999999"/>
    <n v="0"/>
    <n v="0"/>
    <n v="174.38"/>
    <n v="5839.2509999999993"/>
    <n v="973.20850000000007"/>
    <n v="630.72699999999998"/>
    <n v="0"/>
    <n v="244.47299999999998"/>
    <n v="1133.0329999999999"/>
    <n v="2008.2329999999997"/>
    <n v="5044.3059999999996"/>
    <n v="1649.5536666666667"/>
    <n v="9897.3220000000001"/>
    <n v="3.0579823511855024"/>
    <n v="0.50966372519758374"/>
    <m/>
    <n v="475.8"/>
    <n v="0"/>
    <n v="213.4"/>
    <n v="213.4"/>
    <n v="0"/>
    <n v="-0.156"/>
    <n v="-0.156"/>
    <n v="0"/>
    <n v="44.555"/>
    <n v="44.555"/>
    <n v="0"/>
    <n v="167.977"/>
    <n v="167.977"/>
    <n v="1911.989"/>
    <n v="1911.989"/>
    <n v="1"/>
    <n v="901.57600000000002"/>
    <n v="12.749971716257495"/>
    <n v="2.1249952860429158"/>
    <m/>
    <n v="2909.8089999999997"/>
    <n v="290.98089999999996"/>
    <n v="0.14489399387421678"/>
    <n v="4.1150144247086766"/>
    <n v="0.6858357374514461"/>
    <n v="28.400172530829273"/>
    <n v="4.7333620884715453"/>
    <n v="15.807954067442997"/>
    <n v="19.922968492151675"/>
    <n v="44.208126598272273"/>
    <n v="2.6346590112404993"/>
    <n v="3.3204947486919454"/>
    <n v="7.3680210997120446"/>
    <n v="4"/>
    <n v="1.5807954067442997"/>
    <n v="111.78120480170293"/>
  </r>
  <r>
    <s v="Range Resources"/>
    <x v="14"/>
    <x v="8"/>
    <n v="362.68700000000001"/>
    <n v="4.0839999999999996"/>
    <n v="20.356000000000002"/>
    <n v="84.887833333333333"/>
    <n v="509.32700000000006"/>
    <n v="0"/>
    <n v="0"/>
    <n v="0"/>
    <n v="0"/>
    <n v="0"/>
    <n v="84.887833333333333"/>
    <n v="509.32700000000006"/>
    <n v="1"/>
    <n v="0.71209066081319072"/>
    <n v="4.8110545877206583E-2"/>
    <n v="0.23979879330960269"/>
    <n v="21.513999999999999"/>
    <n v="239.828"/>
    <n v="2901.5329999999999"/>
    <n v="4469.585"/>
    <n v="-490.88400000000001"/>
    <n v="744.93083333333334"/>
    <n v="-81.813999999999851"/>
    <n v="-9.8959191157126314E-2"/>
    <m/>
    <n v="-340.286"/>
    <n v="1017.956"/>
    <n v="0"/>
    <n v="0"/>
    <n v="677.67000000000007"/>
    <n v="3.8039999999999998"/>
    <n v="4.9240000000000004"/>
    <n v="0"/>
    <n v="0"/>
    <n v="8.7279999999999998"/>
    <n v="17.716999999999999"/>
    <n v="36.308"/>
    <n v="0"/>
    <n v="0"/>
    <n v="54.024999999999999"/>
    <n v="1054.1880000000001"/>
    <n v="175.69800000000001"/>
    <n v="73.025000000000006"/>
    <n v="0"/>
    <n v="108.91099999999999"/>
    <n v="721.60500000000002"/>
    <n v="903.54099999999994"/>
    <n v="4289.2169999999996"/>
    <n v="1512.546"/>
    <n v="9075.2759999999998"/>
    <n v="2.8357597058205171"/>
    <n v="0.47262661763675284"/>
    <m/>
    <n v="533.10199999999998"/>
    <n v="0"/>
    <n v="194.01499999999999"/>
    <n v="194.01499999999999"/>
    <n v="0"/>
    <n v="0.1"/>
    <n v="0.1"/>
    <n v="0"/>
    <n v="33.86"/>
    <n v="33.86"/>
    <n v="0"/>
    <n v="166.43899999999999"/>
    <n v="166.43899999999999"/>
    <n v="1089.644"/>
    <n v="1089.644"/>
    <n v="1"/>
    <n v="927.51599999999996"/>
    <n v="10.926371466660907"/>
    <n v="1.8210619111101509"/>
    <m/>
    <n v="1831.0569999999998"/>
    <n v="183.10569999999998"/>
    <n v="0.2026534490410507"/>
    <n v="2.1570311410940319"/>
    <n v="0.35950519018233856"/>
    <n v="10.643939944279412"/>
    <n v="1.773989990713235"/>
    <n v="13.762131172481425"/>
    <n v="15.919162313575457"/>
    <n v="24.406071116760835"/>
    <n v="2.2936885287469035"/>
    <n v="2.6531937189292423"/>
    <n v="4.0676785194601388"/>
    <n v="4"/>
    <n v="1.3762131172481424"/>
    <n v="116.82374972810744"/>
  </r>
  <r>
    <s v="Range Resources"/>
    <x v="14"/>
    <x v="9"/>
    <n v="375.81099999999998"/>
    <n v="3.609"/>
    <n v="27.826000000000001"/>
    <n v="94.070166666666665"/>
    <n v="564.42100000000005"/>
    <n v="0"/>
    <n v="0"/>
    <n v="0"/>
    <n v="0"/>
    <n v="0"/>
    <n v="94.070166666666665"/>
    <n v="564.42100000000005"/>
    <n v="1"/>
    <n v="0.66583454548997989"/>
    <n v="3.8364979332802994E-2"/>
    <n v="0.29580047517721703"/>
    <n v="31.143000000000001"/>
    <n v="266.214"/>
    <n v="3518.2750000000001"/>
    <n v="5302.4170000000004"/>
    <n v="832.83200000000033"/>
    <n v="883.73616666666669"/>
    <n v="138.80533333333335"/>
    <n v="0.1863331830583824"/>
    <m/>
    <n v="-30.565999999999999"/>
    <n v="1393.1079999999999"/>
    <n v="262.81299999999999"/>
    <n v="0"/>
    <n v="1625.355"/>
    <n v="0.51500000000000001"/>
    <n v="1.2999999999999999E-2"/>
    <n v="0"/>
    <n v="0"/>
    <n v="0.52800000000000002"/>
    <n v="19.716000000000001"/>
    <n v="154.66399999999999"/>
    <n v="0"/>
    <n v="0"/>
    <n v="174.38"/>
    <n v="2674.8029999999999"/>
    <n v="445.8005"/>
    <n v="33.142000000000003"/>
    <n v="0"/>
    <n v="70.004999999999995"/>
    <n v="501.39000000000004"/>
    <n v="604.53700000000003"/>
    <n v="3516.3109999999997"/>
    <n v="1594.7070000000001"/>
    <n v="9568.2419999999984"/>
    <n v="2.2049887534199071"/>
    <n v="0.36749812556998457"/>
    <m/>
    <n v="662.54699999999991"/>
    <n v="0"/>
    <n v="184.77199999999999"/>
    <n v="184.77199999999999"/>
    <n v="0"/>
    <n v="-0.10199999999999999"/>
    <n v="-0.10199999999999999"/>
    <n v="0"/>
    <n v="25.443000000000001"/>
    <n v="25.443000000000001"/>
    <n v="0"/>
    <n v="168.21299999999999"/>
    <n v="168.21299999999999"/>
    <n v="1197.2149999999999"/>
    <n v="1197.2149999999999"/>
    <n v="1"/>
    <n v="1040.873"/>
    <n v="11.064857615148977"/>
    <n v="1.8441429358581625"/>
    <m/>
    <n v="1645.41"/>
    <n v="164.54100000000003"/>
    <n v="0.27217688909032867"/>
    <n v="1.7491305249095979"/>
    <n v="0.29152175415159964"/>
    <n v="6.4264476339470011"/>
    <n v="1.0710746056578333"/>
    <n v="13.269846368568885"/>
    <n v="15.018976893478483"/>
    <n v="19.696294002515884"/>
    <n v="2.2116410614281472"/>
    <n v="2.503162815579747"/>
    <n v="3.2827156670859807"/>
    <n v="4"/>
    <n v="1.3269846368568885"/>
    <n v="124.82966595323364"/>
  </r>
  <r>
    <s v="Southwestern Energy"/>
    <x v="15"/>
    <x v="0"/>
    <n v="109.881"/>
    <n v="0.61399999999999999"/>
    <n v="0"/>
    <n v="18.927500000000002"/>
    <n v="113.565"/>
    <n v="0"/>
    <n v="0"/>
    <n v="0"/>
    <n v="0"/>
    <n v="0"/>
    <n v="18.927500000000002"/>
    <n v="113.565"/>
    <n v="1"/>
    <n v="0.96756042794875186"/>
    <n v="3.2439572051248179E-2"/>
    <n v="0"/>
    <n v="1643"/>
    <n v="0"/>
    <n v="516.57799999999997"/>
    <n v="10374.578"/>
    <m/>
    <n v="1729.0963333333334"/>
    <m/>
    <m/>
    <m/>
    <n v="30.489000000000001"/>
    <n v="498.14100000000002"/>
    <n v="0.20399999999999999"/>
    <n v="0"/>
    <n v="528.83399999999995"/>
    <n v="8.1000000000000003E-2"/>
    <n v="1.585"/>
    <n v="0"/>
    <n v="0"/>
    <n v="1.6659999999999999"/>
    <n v="0"/>
    <n v="0"/>
    <n v="0"/>
    <n v="0"/>
    <n v="0"/>
    <n v="538.82999999999993"/>
    <n v="89.804999999999993"/>
    <n v="119.536"/>
    <n v="0"/>
    <n v="0"/>
    <n v="1375.2"/>
    <n v="1494.7360000000001"/>
    <m/>
    <m/>
    <m/>
    <m/>
    <m/>
    <s v="Includes oil and excludes sales. Capital includes capitalized costs incurred plus net unevaluated costs excluded from the full cost pool."/>
    <m/>
    <m/>
    <m/>
    <m/>
    <m/>
    <m/>
    <m/>
    <m/>
    <m/>
    <m/>
    <m/>
    <m/>
    <m/>
    <n v="0"/>
    <n v="0"/>
    <m/>
    <m/>
    <m/>
    <m/>
    <m/>
    <m/>
    <m/>
    <m/>
    <m/>
    <m/>
    <m/>
    <m/>
    <m/>
    <m/>
    <m/>
    <m/>
    <m/>
    <m/>
    <n v="4"/>
    <m/>
    <m/>
  </r>
  <r>
    <s v="Southwestern Energy"/>
    <x v="15"/>
    <x v="1"/>
    <n v="192.26499999999999"/>
    <n v="0.38500000000000001"/>
    <n v="0"/>
    <n v="32.42916666666666"/>
    <n v="194.57499999999999"/>
    <n v="0"/>
    <n v="0"/>
    <n v="0"/>
    <n v="0"/>
    <n v="0"/>
    <n v="32.42916666666666"/>
    <n v="194.57499999999999"/>
    <n v="1"/>
    <n v="0.98812797121932416"/>
    <n v="1.1872028780675834E-2"/>
    <n v="0"/>
    <n v="155"/>
    <n v="0"/>
    <n v="839.15800000000002"/>
    <n v="1769.1579999999999"/>
    <n v="-8605.42"/>
    <n v="294.85966666666667"/>
    <n v="-1434.2366666666667"/>
    <n v="-0.82947181080522014"/>
    <m/>
    <n v="100.23"/>
    <n v="919.62300000000005"/>
    <n v="0"/>
    <n v="0"/>
    <n v="1019.8530000000001"/>
    <n v="-0.35499999999999998"/>
    <n v="9.2999999999999999E-2"/>
    <n v="0"/>
    <n v="0"/>
    <n v="-0.26200000000000001"/>
    <n v="0"/>
    <n v="0"/>
    <n v="0"/>
    <n v="0"/>
    <n v="0"/>
    <n v="1018.2810000000001"/>
    <n v="169.71350000000001"/>
    <n v="121.871"/>
    <n v="0"/>
    <n v="0"/>
    <n v="1569.1"/>
    <n v="1690.971"/>
    <m/>
    <m/>
    <m/>
    <m/>
    <m/>
    <s v="Includes oil and excludes sales. Capital includes capitalized costs incurred plus net unevaluated costs excluded from the full cost pool."/>
    <m/>
    <m/>
    <m/>
    <m/>
    <m/>
    <m/>
    <m/>
    <m/>
    <m/>
    <m/>
    <m/>
    <m/>
    <m/>
    <n v="0"/>
    <n v="0"/>
    <m/>
    <m/>
    <m/>
    <m/>
    <m/>
    <m/>
    <m/>
    <m/>
    <m/>
    <m/>
    <m/>
    <m/>
    <m/>
    <m/>
    <m/>
    <m/>
    <m/>
    <m/>
    <n v="4"/>
    <m/>
    <m/>
  </r>
  <r>
    <s v="Southwestern Energy"/>
    <x v="15"/>
    <x v="2"/>
    <n v="299.69799999999998"/>
    <n v="0.124"/>
    <n v="0"/>
    <n v="50.073666666666668"/>
    <n v="300.44200000000001"/>
    <n v="0"/>
    <n v="0"/>
    <n v="0"/>
    <n v="0"/>
    <n v="0"/>
    <n v="50.073666666666668"/>
    <n v="300.44200000000001"/>
    <n v="1"/>
    <n v="0.99752364849122288"/>
    <n v="2.4763515087770686E-3"/>
    <n v="0"/>
    <n v="31"/>
    <n v="0"/>
    <n v="1677.5360000000001"/>
    <n v="1863.5360000000001"/>
    <n v="94.378000000000156"/>
    <n v="310.58933333333334"/>
    <n v="15.729666666666674"/>
    <n v="5.3346281112257948E-2"/>
    <m/>
    <n v="94.93"/>
    <n v="1683.2639999999999"/>
    <n v="1.7949999999999999"/>
    <n v="0"/>
    <n v="1779.989"/>
    <n v="-0.34599999999999997"/>
    <n v="2.1999999999999999E-2"/>
    <n v="0"/>
    <n v="0"/>
    <n v="-0.32399999999999995"/>
    <n v="0"/>
    <n v="0"/>
    <n v="0"/>
    <n v="0"/>
    <n v="0"/>
    <n v="1778.0450000000001"/>
    <n v="296.34083333333331"/>
    <n v="115.217"/>
    <n v="4.3719999999999999"/>
    <n v="52.177999999999997"/>
    <n v="1358.1089999999999"/>
    <n v="1529.876"/>
    <n v="4715.5830000000005"/>
    <n v="555.85933333333332"/>
    <n v="3335.1559999999999"/>
    <n v="8.483410671045073"/>
    <n v="1.4139017785075123"/>
    <s v="Includes oil and excludes sales. Capital includes capitalized costs incurred plus net unevaluated costs excluded from the full cost pool."/>
    <n v="231.34034"/>
    <n v="0"/>
    <n v="105.15469999999999"/>
    <n v="105.15469999999999"/>
    <n v="-64.968999999999994"/>
    <n v="0"/>
    <n v="-47.922518118515612"/>
    <n v="0"/>
    <n v="33.935000000000002"/>
    <n v="33.935000000000002"/>
    <n v="61.152000000000001"/>
    <n v="0"/>
    <n v="45.107017623535334"/>
    <n v="1582.596"/>
    <n v="2145.54"/>
    <n v="0.73762129813473531"/>
    <n v="367.61453950501971"/>
    <n v="7.3414743512229252"/>
    <n v="1.2235790585371542"/>
    <m/>
    <n v="1897.4905395050196"/>
    <n v="189.74905395050197"/>
    <n v="0.12402904153702782"/>
    <n v="3.7893980325753782"/>
    <n v="0.63156633876256307"/>
    <n v="30.552505974530856"/>
    <n v="5.0920843290884763"/>
    <n v="15.824885022267999"/>
    <n v="19.614283054843376"/>
    <n v="46.377390996798852"/>
    <n v="2.6374808370446665"/>
    <n v="3.2690471758072297"/>
    <n v="7.7295651661331428"/>
    <n v="4"/>
    <n v="1.5824885022267998"/>
    <n v="79.241001764337369"/>
  </r>
  <r>
    <s v="Southwestern Energy"/>
    <x v="15"/>
    <x v="3"/>
    <n v="403.63600000000002"/>
    <n v="0.17100000000000001"/>
    <n v="0"/>
    <n v="67.443666666666672"/>
    <n v="404.66200000000003"/>
    <n v="0"/>
    <n v="0"/>
    <n v="0"/>
    <n v="0"/>
    <n v="0"/>
    <n v="67.443666666666672"/>
    <n v="404.66200000000003"/>
    <n v="1"/>
    <n v="0.99746455066203399"/>
    <n v="2.5354493379660063E-3"/>
    <n v="0"/>
    <n v="46"/>
    <n v="0"/>
    <n v="2242.7420000000002"/>
    <n v="2518.7420000000002"/>
    <n v="655.20600000000013"/>
    <n v="419.79033333333336"/>
    <n v="109.20100000000002"/>
    <n v="0.35159288578272707"/>
    <m/>
    <n v="309.29199999999997"/>
    <n v="1429.4390000000001"/>
    <n v="0"/>
    <n v="0"/>
    <n v="1738.731"/>
    <n v="1.0589999999999999"/>
    <n v="0.28100000000000003"/>
    <n v="0"/>
    <n v="0"/>
    <n v="1.3399999999999999"/>
    <n v="0"/>
    <n v="0"/>
    <n v="0"/>
    <n v="0"/>
    <n v="0"/>
    <n v="1746.771"/>
    <n v="291.12849999999997"/>
    <n v="227.40899999999999"/>
    <n v="0"/>
    <n v="20.862000000000002"/>
    <n v="1524.4349999999999"/>
    <n v="1772.7059999999999"/>
    <n v="4993.5529999999999"/>
    <n v="757.18283333333329"/>
    <n v="4543.0969999999998"/>
    <n v="6.5949104762676214"/>
    <n v="1.0991517460446036"/>
    <s v="Includes oil and excludes sales. Capital includes capitalized costs incurred plus net unevaluated costs excluded from the full cost pool."/>
    <n v="335.86946"/>
    <n v="0"/>
    <n v="121.3986"/>
    <n v="121.3986"/>
    <n v="11.939"/>
    <n v="0"/>
    <n v="8.5602155716766202"/>
    <n v="0"/>
    <n v="44.2"/>
    <n v="44.2"/>
    <n v="55.581000000000003"/>
    <n v="0"/>
    <n v="39.851356201470658"/>
    <n v="1871.835"/>
    <n v="2610.663"/>
    <n v="0.71699602744590163"/>
    <n v="549.87963177314737"/>
    <n v="8.153169288539285"/>
    <n v="1.3588615480898807"/>
    <m/>
    <n v="2322.5856317731473"/>
    <n v="232.25856317731473"/>
    <n v="0.13101922325377965"/>
    <n v="3.4437416388588211"/>
    <n v="0.57395693980980356"/>
    <n v="26.284247100048926"/>
    <n v="4.3807078500081547"/>
    <n v="14.748079764806906"/>
    <n v="18.191821403665728"/>
    <n v="41.032326864855833"/>
    <n v="2.4580132941344841"/>
    <n v="3.0319702339442878"/>
    <n v="6.8387211441426388"/>
    <n v="4"/>
    <n v="1.4748079764806907"/>
    <n v="99.466457563104882"/>
  </r>
  <r>
    <s v="Southwestern Energy"/>
    <x v="15"/>
    <x v="4"/>
    <n v="499.43299999999999"/>
    <n v="9.7000000000000003E-2"/>
    <n v="0"/>
    <n v="83.335833333333326"/>
    <n v="500.01499999999999"/>
    <n v="0"/>
    <n v="0"/>
    <n v="0"/>
    <n v="0"/>
    <n v="0"/>
    <n v="83.335833333333326"/>
    <n v="500.01499999999999"/>
    <n v="1"/>
    <n v="0.99883603491895245"/>
    <n v="1.1639650810475687E-3"/>
    <n v="0"/>
    <n v="13"/>
    <n v="0"/>
    <n v="2633.1889999999999"/>
    <n v="2711.1889999999999"/>
    <n v="192.44699999999966"/>
    <n v="451.86483333333331"/>
    <n v="32.074499999999944"/>
    <n v="7.6405999502926314E-2"/>
    <m/>
    <n v="34.505000000000003"/>
    <n v="1459.4280000000001"/>
    <n v="1.2999999999999999E-2"/>
    <n v="0"/>
    <n v="1493.9460000000001"/>
    <n v="1.2190000000000001"/>
    <n v="-0.125"/>
    <n v="0"/>
    <n v="0"/>
    <n v="1.0940000000000001"/>
    <n v="0"/>
    <n v="0"/>
    <n v="0"/>
    <n v="0"/>
    <n v="0"/>
    <n v="1500.5100000000002"/>
    <n v="250.08500000000001"/>
    <n v="262.68600000000004"/>
    <n v="1.7000000000000001E-2"/>
    <n v="45.018999999999998"/>
    <n v="1633.7840000000001"/>
    <n v="1941.5060000000001"/>
    <n v="5244.0879999999997"/>
    <n v="837.55433333333326"/>
    <n v="5025.326"/>
    <n v="6.261191413253588"/>
    <n v="1.0435319022089313"/>
    <s v="Includes oil and excludes sales. Capital includes capitalized costs incurred plus net unevaluated costs excluded from the full cost pool."/>
    <n v="420.01259999999996"/>
    <n v="0"/>
    <n v="135.00405000000001"/>
    <n v="135.00405000000001"/>
    <n v="4.1980000000000004"/>
    <n v="0"/>
    <n v="2.969538021964476"/>
    <n v="0"/>
    <n v="53.95"/>
    <n v="53.95"/>
    <n v="65.421000000000006"/>
    <n v="0"/>
    <n v="46.276833476640782"/>
    <n v="2088.7629999999999"/>
    <n v="2952.8589999999999"/>
    <n v="0.70736970508920338"/>
    <n v="658.21302149860526"/>
    <n v="7.8983193084040115"/>
    <n v="1.3163865514006685"/>
    <m/>
    <n v="2599.7190214986053"/>
    <n v="259.97190214986057"/>
    <n v="0.13390218837843434"/>
    <n v="3.1195692387211653"/>
    <n v="0.51992820645352755"/>
    <n v="23.297373078807638"/>
    <n v="3.8828955131346063"/>
    <n v="14.1595107216576"/>
    <n v="17.279079960378766"/>
    <n v="37.456883800465235"/>
    <n v="2.3599184536096001"/>
    <n v="2.8798466600631274"/>
    <n v="6.2428139667442064"/>
    <n v="4"/>
    <n v="1.41595107216576"/>
    <n v="117.9994625581604"/>
  </r>
  <r>
    <s v="Southwestern Energy"/>
    <x v="15"/>
    <x v="5"/>
    <n v="564.48400000000004"/>
    <n v="8.3000000000000004E-2"/>
    <n v="0"/>
    <n v="94.163666666666671"/>
    <n v="564.98200000000008"/>
    <n v="0"/>
    <n v="0"/>
    <n v="0"/>
    <n v="0"/>
    <n v="0"/>
    <n v="94.163666666666671"/>
    <n v="564.98200000000008"/>
    <n v="1"/>
    <n v="0.99911855598939425"/>
    <n v="8.8144401060564765E-4"/>
    <n v="0"/>
    <n v="1"/>
    <n v="0"/>
    <n v="821"/>
    <n v="827"/>
    <n v="-1884.1889999999999"/>
    <n v="137.83333333333334"/>
    <n v="-314.03149999999994"/>
    <n v="-0.69496777981911251"/>
    <m/>
    <n v="-2087.9850000000001"/>
    <n v="918.59400000000005"/>
    <n v="0"/>
    <n v="0"/>
    <n v="-1169.3910000000001"/>
    <n v="-4.3999999999999997E-2"/>
    <n v="0.154"/>
    <n v="0"/>
    <n v="0"/>
    <n v="0.11"/>
    <n v="0"/>
    <n v="0"/>
    <n v="0"/>
    <n v="0"/>
    <n v="0"/>
    <n v="-1168.731"/>
    <n v="-194.7885"/>
    <n v="217.22200000000001"/>
    <n v="0"/>
    <n v="194.78"/>
    <n v="1492.8409999999999"/>
    <n v="1904.8429999999998"/>
    <n v="5619.0550000000003"/>
    <n v="346.42499999999995"/>
    <n v="2078.5500000000002"/>
    <n v="16.220119795049438"/>
    <n v="2.7033532991749056"/>
    <s v="Includes oil and excludes sales. Capital includes capitalized costs incurred plus net unevaluated costs excluded from the full cost pool."/>
    <n v="451.98560000000009"/>
    <n v="0"/>
    <n v="146.89532000000003"/>
    <n v="146.89532000000003"/>
    <n v="0.81799999999999995"/>
    <n v="0"/>
    <n v="0.58878021978021977"/>
    <n v="0"/>
    <n v="56.262"/>
    <n v="56.262"/>
    <n v="96.296000000000006"/>
    <n v="0"/>
    <n v="69.311956043956044"/>
    <n v="1965"/>
    <n v="2730"/>
    <n v="0.71978021978021978"/>
    <n v="725.04365626373635"/>
    <n v="7.6998239547143408"/>
    <n v="1.2833039924523901"/>
    <m/>
    <n v="2629.8866562637363"/>
    <n v="262.98866562637363"/>
    <n v="0.1380631714143232"/>
    <n v="2.7928889659462457"/>
    <n v="0.46548149432437419"/>
    <n v="20.229065704748113"/>
    <n v="3.3715109507913517"/>
    <n v="23.919943749763778"/>
    <n v="26.712832715710025"/>
    <n v="44.149009454511891"/>
    <n v="3.9866572916272958"/>
    <n v="4.4521387859516697"/>
    <n v="7.3581682424186479"/>
    <n v="4"/>
    <n v="2.3919943749763779"/>
    <n v="225.23896099381733"/>
  </r>
  <r>
    <s v="Southwestern Energy"/>
    <x v="15"/>
    <x v="6"/>
    <n v="655.70399999999995"/>
    <n v="0.188"/>
    <n v="0"/>
    <n v="109.47199999999999"/>
    <n v="656.83199999999999"/>
    <n v="0"/>
    <n v="0"/>
    <n v="0"/>
    <n v="0"/>
    <n v="0"/>
    <n v="109.47199999999999"/>
    <n v="656.83199999999999"/>
    <n v="1"/>
    <n v="0.99828266588716741"/>
    <n v="1.7173341128325051E-3"/>
    <n v="0"/>
    <n v="1"/>
    <n v="0"/>
    <n v="2737"/>
    <n v="2743"/>
    <n v="1916"/>
    <n v="457.16666666666669"/>
    <n v="319.33333333333337"/>
    <n v="2.3168077388149939"/>
    <m/>
    <n v="325.37400000000002"/>
    <n v="3283.4949999999999"/>
    <n v="4.1139999999999999"/>
    <n v="0"/>
    <n v="3612.9829999999997"/>
    <n v="8.7999999999999995E-2"/>
    <n v="0.22900000000000001"/>
    <n v="0"/>
    <n v="0"/>
    <n v="0.317"/>
    <n v="0"/>
    <n v="0"/>
    <n v="0"/>
    <n v="0"/>
    <n v="0"/>
    <n v="3614.8849999999998"/>
    <n v="602.48083333333329"/>
    <n v="151.304"/>
    <n v="0.57199999999999995"/>
    <n v="180.66399999999999"/>
    <n v="1662.1379999999999"/>
    <n v="1994.6779999999999"/>
    <n v="5841.027"/>
    <n v="657.77733333333333"/>
    <n v="3946.6639999999998"/>
    <n v="8.8799456959092549"/>
    <n v="1.4799909493182091"/>
    <s v="Includes oil and excludes sales. Capital includes capitalized costs incurred plus net unevaluated costs excluded from the full cost pool."/>
    <n v="564.87551999999994"/>
    <n v="0"/>
    <n v="157.63968"/>
    <n v="157.63968"/>
    <n v="18.786999999999999"/>
    <n v="0"/>
    <n v="13.373985193959136"/>
    <n v="0"/>
    <n v="65.683199999999999"/>
    <n v="65.683199999999999"/>
    <n v="100"/>
    <n v="0"/>
    <n v="71.187444477346759"/>
    <n v="2404"/>
    <n v="3377"/>
    <n v="0.71187444477346762"/>
    <n v="872.75982967130585"/>
    <n v="7.9724480202362784"/>
    <n v="1.3287413367060463"/>
    <m/>
    <n v="2867.4378296713057"/>
    <n v="286.74378296713058"/>
    <n v="0.14375442200050864"/>
    <n v="2.619334468787732"/>
    <n v="0.43655574479795534"/>
    <n v="18.220896667641039"/>
    <n v="3.0368161112735068"/>
    <n v="16.852393716145535"/>
    <n v="19.471728184933266"/>
    <n v="35.073290383786571"/>
    <n v="2.8087322860242554"/>
    <n v="3.245288030822211"/>
    <n v="5.8455483972977618"/>
    <n v="4"/>
    <n v="1.6852393716145535"/>
    <n v="184.48652448938839"/>
  </r>
  <r>
    <s v="Southwestern Energy"/>
    <x v="15"/>
    <x v="7"/>
    <n v="765"/>
    <n v="0.23499999999999999"/>
    <n v="0.26100000000000001"/>
    <n v="127.996"/>
    <n v="767.976"/>
    <n v="0"/>
    <n v="0"/>
    <n v="0"/>
    <n v="0"/>
    <n v="0"/>
    <n v="127.996"/>
    <n v="767.976"/>
    <n v="1"/>
    <n v="0.9961248789024657"/>
    <n v="1.8359948748398387E-3"/>
    <n v="2.0391262226944593E-3"/>
    <n v="30.17"/>
    <n v="80.066999999999993"/>
    <n v="4134"/>
    <n v="4795.4219999999996"/>
    <n v="3968.4219999999996"/>
    <n v="799.23699999999997"/>
    <n v="661.4036666666666"/>
    <n v="4.7985755743651746"/>
    <m/>
    <n v="542"/>
    <n v="1691"/>
    <n v="1367"/>
    <n v="0"/>
    <n v="3600"/>
    <n v="-1.4E-2"/>
    <n v="0.25"/>
    <n v="37.246000000000002"/>
    <n v="0"/>
    <n v="37.481999999999999"/>
    <n v="66"/>
    <n v="48"/>
    <n v="118.816"/>
    <n v="0"/>
    <n v="232.816"/>
    <n v="5221.7879999999996"/>
    <n v="870.298"/>
    <n v="3933"/>
    <n v="1455"/>
    <n v="229"/>
    <n v="1600"/>
    <n v="7217"/>
    <n v="13058.027"/>
    <n v="1528.0753333333332"/>
    <n v="9168.4519999999993"/>
    <n v="8.5454078834682239"/>
    <n v="1.4242346472447041"/>
    <s v="The significant increase in the Company’s reserves in 2014 was primarily due to the acquisition of approximately 413,000 net acres in Southwest Appalachia, successful development drilling programs in the Fayetteville Shale and Northeast Appalachia and upward performance revisions in Northeast Appalachia."/>
    <n v="698.85816"/>
    <n v="0"/>
    <n v="184.31423999999998"/>
    <n v="184.31423999999998"/>
    <n v="28"/>
    <n v="0"/>
    <n v="19.786666666666665"/>
    <n v="0"/>
    <n v="84.477360000000004"/>
    <n v="84.477360000000004"/>
    <n v="101"/>
    <n v="0"/>
    <n v="71.373333333333335"/>
    <n v="2862"/>
    <n v="4050"/>
    <n v="0.70666666666666667"/>
    <n v="1058.8097600000001"/>
    <n v="8.2722097565548935"/>
    <n v="1.3787016260924823"/>
    <m/>
    <n v="8275.8097600000001"/>
    <n v="827.58097600000008"/>
    <n v="0.1146710511292781"/>
    <n v="6.4656784274508583"/>
    <n v="1.0776130712418097"/>
    <n v="56.384574517953688"/>
    <n v="9.397429086325614"/>
    <n v="16.817617640023116"/>
    <n v="23.283296067473973"/>
    <n v="73.20219215797681"/>
    <n v="2.8029362733371865"/>
    <n v="3.8805493445789963"/>
    <n v="12.200365359662801"/>
    <n v="4"/>
    <n v="1.6817617640023115"/>
    <n v="215.25877874523985"/>
  </r>
  <r>
    <s v="Southwestern Energy"/>
    <x v="15"/>
    <x v="8"/>
    <n v="899"/>
    <n v="2.2650000000000001"/>
    <n v="10.702"/>
    <n v="162.80033333333333"/>
    <n v="976.80200000000002"/>
    <n v="0"/>
    <n v="0"/>
    <n v="0"/>
    <n v="0"/>
    <n v="0"/>
    <n v="162.80033333333333"/>
    <n v="976.80200000000002"/>
    <n v="1"/>
    <n v="0.92035028593307544"/>
    <n v="1.3912747926396548E-2"/>
    <n v="6.5736966140527972E-2"/>
    <n v="0"/>
    <n v="0"/>
    <n v="443"/>
    <n v="443"/>
    <n v="-4352.4219999999996"/>
    <n v="73.833333333333329"/>
    <n v="-725.4036666666666"/>
    <n v="-0.90762022612399906"/>
    <m/>
    <n v="-3458"/>
    <n v="546"/>
    <n v="97"/>
    <n v="0"/>
    <n v="-2815"/>
    <n v="-28.393999999999998"/>
    <n v="1.367"/>
    <n v="0.52500000000000002"/>
    <n v="0"/>
    <n v="-26.501999999999999"/>
    <n v="-75.664000000000001"/>
    <n v="6.274"/>
    <n v="2.34"/>
    <n v="0"/>
    <n v="-67.05"/>
    <n v="-3376.3119999999999"/>
    <n v="-562.71866666666665"/>
    <n v="692"/>
    <n v="81"/>
    <n v="560"/>
    <n v="1417"/>
    <n v="2750"/>
    <n v="13866.521000000001"/>
    <n v="715.27166666666653"/>
    <n v="4291.6299999999992"/>
    <n v="19.386369747625032"/>
    <n v="3.2310616246041723"/>
    <m/>
    <n v="898.65784000000008"/>
    <n v="0"/>
    <n v="205.12842000000001"/>
    <n v="205.12842000000001"/>
    <n v="-6"/>
    <n v="0"/>
    <n v="-3.9987146529562985"/>
    <n v="0"/>
    <n v="97.680200000000013"/>
    <n v="97.680200000000013"/>
    <n v="200"/>
    <n v="0"/>
    <n v="133.29048843187661"/>
    <n v="2074"/>
    <n v="3112"/>
    <n v="0.66645244215938304"/>
    <n v="1330.7582337789204"/>
    <n v="8.1741738885398707"/>
    <n v="1.362362314756645"/>
    <m/>
    <n v="4080.7582337789204"/>
    <n v="408.07582337789205"/>
    <n v="0.14839120850105164"/>
    <n v="2.5066031194319343"/>
    <n v="0.41776718657198902"/>
    <n v="16.891857305779475"/>
    <n v="2.8153095509632453"/>
    <n v="27.560543636164901"/>
    <n v="30.067146755596834"/>
    <n v="44.452400941944376"/>
    <n v="4.5934239393608172"/>
    <n v="5.0111911259328066"/>
    <n v="7.408733490324062"/>
    <n v="4"/>
    <n v="2.75605436361649"/>
    <n v="448.68656908155242"/>
  </r>
  <r>
    <s v="Southwestern Energy"/>
    <x v="15"/>
    <x v="9"/>
    <n v="788"/>
    <n v="2.1920000000000002"/>
    <n v="12.372"/>
    <n v="145.89733333333334"/>
    <n v="875.38400000000001"/>
    <n v="0"/>
    <n v="0"/>
    <n v="0"/>
    <n v="0"/>
    <n v="0"/>
    <n v="145.89733333333334"/>
    <n v="875.38400000000001"/>
    <n v="1"/>
    <n v="0.90017637973734954"/>
    <n v="1.5024263637443682E-2"/>
    <n v="8.4799356625206768E-2"/>
    <n v="0"/>
    <n v="0"/>
    <n v="77"/>
    <n v="77"/>
    <n v="-366"/>
    <n v="12.833333333333334"/>
    <n v="-60.999999999999993"/>
    <n v="-0.82618510158013536"/>
    <m/>
    <n v="-446"/>
    <n v="198"/>
    <n v="0"/>
    <n v="0"/>
    <n v="-248"/>
    <n v="1.5640000000000001"/>
    <n v="2.4169999999999998"/>
    <n v="0"/>
    <n v="0"/>
    <n v="3.9809999999999999"/>
    <n v="13.794"/>
    <n v="11.576000000000001"/>
    <n v="0"/>
    <n v="0"/>
    <n v="25.37"/>
    <n v="-71.894000000000005"/>
    <n v="-11.982333333333333"/>
    <n v="171"/>
    <n v="0"/>
    <n v="17"/>
    <n v="433"/>
    <n v="621"/>
    <n v="10588"/>
    <n v="295.59700000000004"/>
    <n v="1773.5819999999997"/>
    <n v="35.819037405657021"/>
    <n v="5.9698395676095055"/>
    <m/>
    <n v="761.58407999999997"/>
    <n v="0"/>
    <n v="192.58448000000001"/>
    <n v="192.58448000000001"/>
    <n v="-15"/>
    <n v="0"/>
    <n v="-8.7763975155279503"/>
    <n v="0"/>
    <n v="87.53840000000001"/>
    <n v="87.53840000000001"/>
    <n v="226"/>
    <n v="0"/>
    <n v="132.23105590062113"/>
    <n v="1413"/>
    <n v="2415"/>
    <n v="0.58509316770186337"/>
    <n v="1165.1616183850933"/>
    <n v="7.9861748790365823"/>
    <n v="1.331029146506097"/>
    <m/>
    <n v="1786.1616183850933"/>
    <n v="178.61616183850936"/>
    <n v="0.28762666962722921"/>
    <n v="1.2242592633987555"/>
    <n v="0.20404321056645924"/>
    <n v="4.2564177549509701"/>
    <n v="0.70940295915849505"/>
    <n v="43.805212284693603"/>
    <n v="45.02947154809236"/>
    <n v="48.061630039644569"/>
    <n v="7.3008687141156026"/>
    <n v="7.5049119246820615"/>
    <n v="8.0102716732740973"/>
    <n v="4"/>
    <n v="4.3805212284693607"/>
    <n v="639.10636584373719"/>
  </r>
</pivotCacheRecords>
</file>

<file path=xl/pivotCache/pivotCacheRecords4.xml><?xml version="1.0" encoding="utf-8"?>
<pivotCacheRecords xmlns="http://schemas.openxmlformats.org/spreadsheetml/2006/main" xmlns:r="http://schemas.openxmlformats.org/officeDocument/2006/relationships" count="160">
  <r>
    <x v="0"/>
    <s v="APC"/>
    <x v="0"/>
    <n v="698"/>
    <n v="64"/>
    <n v="0"/>
    <n v="180.33333333333331"/>
    <n v="1082"/>
    <n v="0"/>
    <n v="32"/>
    <n v="0"/>
    <n v="32"/>
    <n v="192"/>
    <n v="212.33333333333331"/>
    <n v="1274"/>
    <n v="0.84929356357927788"/>
    <n v="0.64510166358595189"/>
    <n v="0.35489833641404811"/>
    <n v="0"/>
    <n v="254"/>
    <n v="16"/>
    <n v="2196"/>
    <n v="3816"/>
    <m/>
    <n v="636"/>
    <m/>
    <m/>
    <m/>
    <n v="464"/>
    <n v="460"/>
    <n v="4"/>
    <n v="0"/>
    <n v="928"/>
    <n v="33"/>
    <n v="8"/>
    <n v="0"/>
    <n v="0"/>
    <n v="41"/>
    <n v="0"/>
    <n v="0"/>
    <n v="0"/>
    <n v="0"/>
    <n v="0"/>
    <n v="1174"/>
    <n v="195.66666666666666"/>
    <n v="108"/>
    <n v="9"/>
    <n v="575"/>
    <n v="2623"/>
    <n v="3315"/>
    <m/>
    <m/>
    <m/>
    <m/>
    <m/>
    <s v="Costs &amp; Adds include oil; Sales excluded. Allocation of fair value adjustment ommitted in prperty acquisition costs."/>
    <m/>
    <m/>
    <m/>
    <m/>
    <m/>
    <m/>
    <m/>
    <m/>
    <m/>
    <m/>
    <m/>
    <m/>
    <m/>
    <n v="0"/>
    <n v="0"/>
    <m/>
    <m/>
    <m/>
    <m/>
    <m/>
    <m/>
    <m/>
    <m/>
    <m/>
    <m/>
    <m/>
    <m/>
    <m/>
    <m/>
    <m/>
    <m/>
    <m/>
    <m/>
    <n v="4"/>
    <m/>
    <m/>
    <m/>
    <m/>
    <m/>
    <m/>
    <m/>
    <m/>
    <m/>
    <m/>
    <m/>
    <m/>
    <m/>
    <m/>
    <m/>
    <m/>
    <m/>
    <m/>
    <m/>
    <m/>
    <m/>
    <m/>
    <m/>
    <m/>
    <m/>
    <m/>
    <m/>
    <m/>
    <m/>
    <m/>
    <m/>
    <m/>
    <m/>
    <m/>
    <m/>
    <m/>
    <m/>
    <m/>
    <m/>
    <m/>
    <m/>
    <m/>
    <m/>
    <m/>
    <m/>
    <m/>
    <m/>
    <m/>
    <m/>
    <m/>
    <m/>
    <n v="72.34"/>
    <n v="6.97"/>
    <n v="12.91"/>
    <m/>
    <m/>
    <x v="0"/>
    <m/>
    <m/>
    <m/>
    <m/>
    <m/>
    <m/>
    <m/>
    <m/>
    <m/>
  </r>
  <r>
    <x v="0"/>
    <s v="APC"/>
    <x v="1"/>
    <n v="750"/>
    <n v="40"/>
    <n v="14"/>
    <n v="179"/>
    <n v="1074"/>
    <n v="0"/>
    <n v="26"/>
    <n v="0"/>
    <n v="26"/>
    <n v="156"/>
    <n v="205"/>
    <n v="1230"/>
    <n v="0.87317073170731707"/>
    <n v="0.6983240223463687"/>
    <n v="0.22346368715083798"/>
    <n v="7.8212290502793297E-2"/>
    <n v="202"/>
    <n v="55"/>
    <n v="1988"/>
    <n v="3530"/>
    <n v="-286"/>
    <n v="588.33333333333326"/>
    <n v="-47.666666666666742"/>
    <n v="-7.4947589098532608E-2"/>
    <m/>
    <n v="199"/>
    <n v="336"/>
    <n v="0"/>
    <n v="0"/>
    <n v="535"/>
    <n v="-17"/>
    <n v="36"/>
    <n v="0"/>
    <n v="0"/>
    <n v="19"/>
    <n v="76"/>
    <n v="4"/>
    <n v="0"/>
    <n v="0"/>
    <n v="80"/>
    <n v="1129"/>
    <n v="188.16666666666669"/>
    <n v="391"/>
    <n v="26"/>
    <n v="622"/>
    <n v="3240"/>
    <n v="4279"/>
    <m/>
    <m/>
    <m/>
    <m/>
    <m/>
    <s v="Costs &amp; Adds include oil; Sales excluded"/>
    <m/>
    <m/>
    <m/>
    <m/>
    <m/>
    <m/>
    <m/>
    <m/>
    <m/>
    <m/>
    <m/>
    <m/>
    <m/>
    <n v="0"/>
    <n v="0"/>
    <m/>
    <m/>
    <m/>
    <m/>
    <m/>
    <m/>
    <m/>
    <m/>
    <m/>
    <m/>
    <m/>
    <m/>
    <m/>
    <m/>
    <m/>
    <m/>
    <m/>
    <m/>
    <n v="4"/>
    <m/>
    <m/>
    <m/>
    <m/>
    <m/>
    <m/>
    <m/>
    <m/>
    <m/>
    <m/>
    <m/>
    <m/>
    <m/>
    <m/>
    <m/>
    <m/>
    <m/>
    <m/>
    <m/>
    <m/>
    <m/>
    <m/>
    <m/>
    <m/>
    <m/>
    <m/>
    <m/>
    <m/>
    <m/>
    <m/>
    <m/>
    <m/>
    <m/>
    <m/>
    <m/>
    <m/>
    <m/>
    <m/>
    <m/>
    <m/>
    <m/>
    <m/>
    <m/>
    <m/>
    <m/>
    <m/>
    <m/>
    <m/>
    <m/>
    <m/>
    <m/>
    <n v="99.67"/>
    <n v="8.86"/>
    <n v="15.2"/>
    <m/>
    <m/>
    <x v="0"/>
    <m/>
    <m/>
    <m/>
    <m/>
    <m/>
    <m/>
    <m/>
    <m/>
    <m/>
  </r>
  <r>
    <x v="0"/>
    <s v="APC"/>
    <x v="2"/>
    <n v="817"/>
    <n v="44"/>
    <n v="19"/>
    <n v="199.16666666666666"/>
    <n v="1195"/>
    <n v="0"/>
    <n v="25"/>
    <n v="0"/>
    <n v="25"/>
    <n v="150"/>
    <n v="224.16666666666666"/>
    <n v="1345"/>
    <n v="0.88847583643122674"/>
    <n v="0.68368200836820081"/>
    <n v="0.22092050209205022"/>
    <n v="9.5397489539748956E-2"/>
    <n v="200"/>
    <n v="61"/>
    <n v="1880"/>
    <n v="3446"/>
    <n v="-84"/>
    <n v="574.33333333333326"/>
    <n v="-14"/>
    <n v="-2.3796033994334279E-2"/>
    <m/>
    <n v="228"/>
    <n v="210"/>
    <n v="149"/>
    <n v="0"/>
    <n v="587"/>
    <n v="45"/>
    <n v="13"/>
    <n v="1"/>
    <n v="0"/>
    <n v="59"/>
    <n v="69"/>
    <n v="2"/>
    <n v="6"/>
    <n v="0"/>
    <n v="77"/>
    <n v="1403"/>
    <n v="233.83333333333331"/>
    <n v="270"/>
    <n v="266"/>
    <n v="743"/>
    <n v="2005"/>
    <n v="3284"/>
    <n v="10878"/>
    <n v="617.66666666666674"/>
    <n v="3706"/>
    <n v="17.611440906637881"/>
    <n v="2.935240151106314"/>
    <s v="Costs &amp; Adds include oil; Sales excluded"/>
    <n v="1412"/>
    <m/>
    <n v="294"/>
    <n v="294"/>
    <n v="194"/>
    <n v="0"/>
    <n v="157.08036350628709"/>
    <n v="0"/>
    <n v="304"/>
    <n v="304"/>
    <n v="732"/>
    <n v="0"/>
    <n v="592.69497982784617"/>
    <n v="7482"/>
    <n v="8210"/>
    <n v="0.80969259539323246"/>
    <n v="2759.7753433341331"/>
    <n v="13.856612602514476"/>
    <n v="2.3094354337524128"/>
    <s v="US Operating loss $5; Non-Income tax is production tax"/>
    <n v="6043.7753433341331"/>
    <n v="604.37753433341334"/>
    <n v="0.18403700801870077"/>
    <n v="3.0345315531384771"/>
    <n v="0.50575525885641281"/>
    <n v="16.488702928870293"/>
    <n v="2.7481171548117156"/>
    <n v="31.468053509152355"/>
    <n v="34.502585062290834"/>
    <n v="47.956756438022651"/>
    <n v="5.2446755848587268"/>
    <n v="5.7504308437151392"/>
    <n v="7.9927927396704419"/>
    <n v="4"/>
    <n v="3.1468053509152356"/>
    <n v="626.73873239061777"/>
    <n v="0.19084614262808092"/>
    <n v="321"/>
    <m/>
    <m/>
    <m/>
    <m/>
    <m/>
    <m/>
    <m/>
    <m/>
    <m/>
    <m/>
    <m/>
    <m/>
    <m/>
    <m/>
    <m/>
    <m/>
    <m/>
    <m/>
    <m/>
    <m/>
    <m/>
    <m/>
    <m/>
    <m/>
    <m/>
    <m/>
    <m/>
    <m/>
    <m/>
    <m/>
    <m/>
    <m/>
    <m/>
    <m/>
    <m/>
    <m/>
    <m/>
    <m/>
    <m/>
    <m/>
    <m/>
    <m/>
    <m/>
    <m/>
    <m/>
    <m/>
    <m/>
    <n v="61.95"/>
    <n v="3.94"/>
    <n v="8.99"/>
    <m/>
    <m/>
    <x v="0"/>
    <m/>
    <m/>
    <m/>
    <m/>
    <m/>
    <m/>
    <m/>
    <m/>
    <m/>
  </r>
  <r>
    <x v="0"/>
    <s v="APC"/>
    <x v="3"/>
    <n v="829"/>
    <n v="48"/>
    <n v="23"/>
    <n v="209.16666666666666"/>
    <n v="1255"/>
    <n v="0"/>
    <n v="26"/>
    <n v="0"/>
    <n v="26"/>
    <n v="156"/>
    <n v="235.16666666666666"/>
    <n v="1411"/>
    <n v="0.88944011339475548"/>
    <n v="0.66055776892430274"/>
    <n v="0.22948207171314741"/>
    <n v="0.10996015936254981"/>
    <n v="195"/>
    <n v="85"/>
    <n v="2135"/>
    <n v="3815"/>
    <n v="369"/>
    <n v="635.83333333333326"/>
    <n v="61.5"/>
    <n v="0.10708067324434128"/>
    <m/>
    <n v="851"/>
    <n v="363"/>
    <n v="7"/>
    <n v="0"/>
    <n v="1221"/>
    <n v="32"/>
    <n v="13"/>
    <n v="0"/>
    <n v="0"/>
    <n v="45"/>
    <n v="60"/>
    <n v="10"/>
    <n v="0"/>
    <n v="0"/>
    <n v="70"/>
    <n v="1911"/>
    <n v="318.5"/>
    <n v="428"/>
    <n v="22"/>
    <n v="693"/>
    <n v="2368"/>
    <n v="3511"/>
    <n v="11074"/>
    <n v="740.5"/>
    <n v="4443"/>
    <n v="14.954760297096556"/>
    <n v="2.4924600495160929"/>
    <s v="Costs &amp; Adds include oil; Sales excluded"/>
    <n v="1536"/>
    <m/>
    <n v="274"/>
    <n v="274"/>
    <n v="307"/>
    <n v="0"/>
    <n v="252.07882965829268"/>
    <n v="0"/>
    <n v="456"/>
    <n v="456"/>
    <n v="856"/>
    <n v="0"/>
    <n v="702.86474979641218"/>
    <n v="10009"/>
    <n v="10842"/>
    <n v="0.82110367966870579"/>
    <n v="3220.9435794547048"/>
    <n v="15.398933447592215"/>
    <n v="2.5664889079320359"/>
    <s v="Tax loss due to $4 billion Deepwater Horizon settlement with BP "/>
    <n v="6731.9435794547044"/>
    <n v="673.19435794547053"/>
    <n v="0.19173863797934221"/>
    <n v="3.2184590818110146"/>
    <n v="0.53640984696850247"/>
    <n v="16.785657370517928"/>
    <n v="2.7976095617529881"/>
    <n v="30.353693744688769"/>
    <n v="33.572152826499781"/>
    <n v="47.139351115206694"/>
    <n v="5.0589489574481288"/>
    <n v="5.5953588044166311"/>
    <n v="7.8565585192011174"/>
    <n v="4"/>
    <n v="3.035369374468877"/>
    <n v="634.89809415974003"/>
    <n v="0.18083112906856735"/>
    <n v="364"/>
    <m/>
    <m/>
    <m/>
    <m/>
    <m/>
    <m/>
    <m/>
    <m/>
    <m/>
    <m/>
    <m/>
    <m/>
    <m/>
    <m/>
    <m/>
    <m/>
    <m/>
    <m/>
    <m/>
    <m/>
    <m/>
    <m/>
    <m/>
    <m/>
    <m/>
    <m/>
    <m/>
    <m/>
    <m/>
    <m/>
    <m/>
    <m/>
    <m/>
    <m/>
    <m/>
    <m/>
    <m/>
    <m/>
    <m/>
    <m/>
    <m/>
    <m/>
    <m/>
    <m/>
    <m/>
    <m/>
    <m/>
    <n v="79.48"/>
    <n v="4.37"/>
    <n v="11.83"/>
    <m/>
    <m/>
    <x v="0"/>
    <m/>
    <m/>
    <m/>
    <m/>
    <m/>
    <m/>
    <m/>
    <m/>
    <m/>
  </r>
  <r>
    <x v="0"/>
    <s v="APC"/>
    <x v="4"/>
    <n v="852"/>
    <n v="48"/>
    <n v="26"/>
    <n v="216"/>
    <n v="1296"/>
    <n v="0"/>
    <n v="30"/>
    <n v="0"/>
    <n v="30"/>
    <n v="180"/>
    <n v="246"/>
    <n v="1476"/>
    <n v="0.87804878048780488"/>
    <n v="0.65740740740740744"/>
    <n v="0.22222222222222221"/>
    <n v="0.12037037037037036"/>
    <n v="184"/>
    <n v="94"/>
    <n v="2252"/>
    <n v="3920"/>
    <n v="105"/>
    <n v="653.33333333333326"/>
    <n v="17.5"/>
    <n v="2.7522935779816519E-2"/>
    <m/>
    <n v="550"/>
    <n v="614"/>
    <n v="0"/>
    <n v="0"/>
    <n v="1164"/>
    <n v="44"/>
    <n v="52"/>
    <n v="0"/>
    <n v="0"/>
    <n v="96"/>
    <n v="68"/>
    <n v="20"/>
    <n v="0"/>
    <n v="0"/>
    <n v="88"/>
    <n v="2268"/>
    <n v="378"/>
    <n v="610"/>
    <n v="0"/>
    <n v="666"/>
    <n v="2970"/>
    <n v="4246"/>
    <n v="11041"/>
    <n v="930.33333333333326"/>
    <n v="5582"/>
    <n v="11.867789322823361"/>
    <n v="1.9779648871372268"/>
    <s v="Costs &amp; Adds include oil; Sales excluded"/>
    <n v="1729"/>
    <m/>
    <n v="322"/>
    <n v="322"/>
    <n v="262"/>
    <n v="0"/>
    <n v="212.68160558856704"/>
    <n v="0"/>
    <n v="646"/>
    <n v="646"/>
    <n v="986"/>
    <n v="0"/>
    <n v="800.39718744399659"/>
    <n v="12834"/>
    <n v="13882"/>
    <n v="0.81176185339147722"/>
    <n v="3710.0787930325637"/>
    <n v="17.176290708484093"/>
    <n v="2.8627151180806818"/>
    <m/>
    <n v="7956.0787930325641"/>
    <n v="795.60787930325648"/>
    <n v="0.18737820991598128"/>
    <n v="3.6833698115891504"/>
    <n v="0.6138949685981917"/>
    <n v="19.657407407407408"/>
    <n v="3.2762345679012346"/>
    <n v="29.044080031307452"/>
    <n v="32.727449842896604"/>
    <n v="48.701487438714864"/>
    <n v="4.8406800052179086"/>
    <n v="5.4545749738161007"/>
    <n v="8.1169145731191428"/>
    <n v="4"/>
    <n v="2.9044080031307451"/>
    <n v="627.35212867624091"/>
    <n v="0.14775132564207274"/>
    <n v="343"/>
    <m/>
    <n v="15230"/>
    <m/>
    <m/>
    <m/>
    <m/>
    <m/>
    <m/>
    <m/>
    <m/>
    <m/>
    <m/>
    <m/>
    <m/>
    <m/>
    <m/>
    <m/>
    <m/>
    <m/>
    <m/>
    <m/>
    <m/>
    <m/>
    <m/>
    <m/>
    <m/>
    <m/>
    <m/>
    <m/>
    <m/>
    <m/>
    <m/>
    <m/>
    <m/>
    <m/>
    <m/>
    <m/>
    <m/>
    <m/>
    <m/>
    <m/>
    <m/>
    <m/>
    <m/>
    <m/>
    <m/>
    <m/>
    <n v="94.88"/>
    <n v="4"/>
    <n v="15.12"/>
    <m/>
    <m/>
    <x v="0"/>
    <m/>
    <m/>
    <m/>
    <m/>
    <m/>
    <m/>
    <m/>
    <m/>
    <m/>
  </r>
  <r>
    <x v="0"/>
    <s v="APC"/>
    <x v="5"/>
    <n v="916"/>
    <n v="54"/>
    <n v="30"/>
    <n v="236.66666666666666"/>
    <n v="1420"/>
    <n v="0"/>
    <n v="31"/>
    <n v="0"/>
    <n v="31"/>
    <n v="186"/>
    <n v="267.66666666666663"/>
    <n v="1606"/>
    <n v="0.88418430884184307"/>
    <n v="0.6450704225352113"/>
    <n v="0.22816901408450704"/>
    <n v="0.12676056338028169"/>
    <n v="193"/>
    <n v="110"/>
    <n v="1884"/>
    <n v="3702"/>
    <n v="-218"/>
    <n v="617"/>
    <n v="-36.333333333333258"/>
    <n v="-5.5612244897959073E-2"/>
    <m/>
    <n v="635"/>
    <n v="418"/>
    <n v="26"/>
    <n v="0"/>
    <n v="1079"/>
    <n v="62"/>
    <n v="9"/>
    <n v="0"/>
    <n v="0"/>
    <n v="71"/>
    <n v="65"/>
    <n v="3"/>
    <n v="0"/>
    <n v="0"/>
    <n v="68"/>
    <n v="1913"/>
    <n v="318.83333333333337"/>
    <n v="224"/>
    <n v="0"/>
    <n v="1064"/>
    <n v="3592"/>
    <n v="4880"/>
    <n v="12637"/>
    <n v="1015.3333333333334"/>
    <n v="6092"/>
    <n v="12.446158896913985"/>
    <n v="2.0743598161523309"/>
    <s v="Costs &amp; Adds include oil; Sales excluded"/>
    <n v="1717"/>
    <m/>
    <n v="318"/>
    <n v="318"/>
    <n v="-300"/>
    <n v="0"/>
    <n v="-247.09585990238566"/>
    <n v="0"/>
    <n v="581"/>
    <n v="581"/>
    <n v="963"/>
    <n v="0"/>
    <n v="793.177710286658"/>
    <n v="12396"/>
    <n v="13307"/>
    <n v="0.82365286634128554"/>
    <n v="3162.0818503842725"/>
    <n v="13.360909226975799"/>
    <n v="2.2268182044959666"/>
    <m/>
    <n v="8042.0818503842729"/>
    <n v="804.20818503842736"/>
    <n v="0.16479675922918594"/>
    <n v="3.398062753683496"/>
    <n v="0.56634379228058263"/>
    <n v="20.619718309859156"/>
    <n v="3.436619718309859"/>
    <n v="25.807068123889785"/>
    <n v="29.205130877573282"/>
    <n v="46.426786433748944"/>
    <n v="4.3011780206482975"/>
    <n v="4.8675218129288798"/>
    <n v="7.7377977389581565"/>
    <n v="4"/>
    <n v="2.5807068123889785"/>
    <n v="610.76727893205816"/>
    <n v="0.12515722928935619"/>
    <n v="528"/>
    <m/>
    <n v="13269"/>
    <n v="573"/>
    <n v="220"/>
    <n v="2.6045454545454545"/>
    <n v="496"/>
    <n v="230"/>
    <n v="2.1565217391304348"/>
    <n v="613"/>
    <n v="231"/>
    <n v="2.6536796536796539"/>
    <n v="764.84000000000015"/>
    <n v="232"/>
    <n v="3.2967241379310352"/>
    <n v="2446.84"/>
    <n v="913"/>
    <n v="2.68"/>
    <n v="1269"/>
    <n v="12"/>
    <n v="105.75"/>
    <n v="1473"/>
    <n v="15"/>
    <n v="98.2"/>
    <n v="1224.47"/>
    <n v="13"/>
    <n v="94.19"/>
    <n v="1393.829999999999"/>
    <n v="15"/>
    <n v="92.92199999999994"/>
    <n v="5360.2999999999993"/>
    <n v="55"/>
    <n v="97.46"/>
    <n v="329.63"/>
    <n v="7"/>
    <n v="47.09"/>
    <n v="282.87"/>
    <n v="7"/>
    <n v="40.409999999999997"/>
    <n v="287.44"/>
    <n v="8"/>
    <n v="35.93"/>
    <n v="313.25999999999976"/>
    <n v="8"/>
    <n v="39.15749999999997"/>
    <n v="1213.1999999999998"/>
    <n v="30"/>
    <n v="40.44"/>
    <n v="94.05"/>
    <n v="2.75"/>
    <n v="10.98"/>
    <n v="2.41"/>
    <n v="2.2799999999999998"/>
    <x v="1"/>
    <n v="3.4"/>
    <n v="13.14"/>
    <n v="10.75"/>
    <n v="9.9600000000000009"/>
    <n v="10.08"/>
    <n v="102.98"/>
    <n v="93.29"/>
    <n v="92.17"/>
    <n v="88.01"/>
  </r>
  <r>
    <x v="0"/>
    <s v="APC"/>
    <x v="6"/>
    <n v="965"/>
    <n v="58"/>
    <n v="33"/>
    <n v="251.83333333333334"/>
    <n v="1511"/>
    <n v="0"/>
    <n v="32"/>
    <n v="0"/>
    <n v="32"/>
    <n v="192"/>
    <n v="283.83333333333337"/>
    <n v="1703"/>
    <n v="0.88725778038755143"/>
    <n v="0.63864990072799466"/>
    <n v="0.2303110522832561"/>
    <n v="0.13103904698874916"/>
    <n v="245"/>
    <n v="127"/>
    <n v="2085"/>
    <n v="4317"/>
    <n v="615"/>
    <n v="719.5"/>
    <n v="102.5"/>
    <n v="0.16612641815235007"/>
    <m/>
    <n v="1276"/>
    <n v="416"/>
    <n v="153"/>
    <n v="0"/>
    <n v="1845"/>
    <n v="96"/>
    <n v="52"/>
    <n v="1"/>
    <n v="0"/>
    <n v="149"/>
    <n v="17"/>
    <n v="10"/>
    <n v="9"/>
    <n v="0"/>
    <n v="36"/>
    <n v="2955"/>
    <n v="492.5"/>
    <n v="282"/>
    <n v="324"/>
    <n v="1031"/>
    <n v="4421"/>
    <n v="6058"/>
    <n v="15184"/>
    <n v="1189.3333333333335"/>
    <n v="7136"/>
    <n v="12.766816143497756"/>
    <n v="2.1278026905829597"/>
    <s v="Costs &amp; Adds include oil; Sales excluded"/>
    <n v="1926"/>
    <m/>
    <n v="332"/>
    <n v="332"/>
    <n v="169"/>
    <n v="0"/>
    <n v="139.46735045649029"/>
    <n v="0"/>
    <n v="569"/>
    <n v="569"/>
    <n v="949"/>
    <n v="0"/>
    <n v="783.16281410183012"/>
    <n v="13828"/>
    <n v="14867"/>
    <n v="0.82525059441710236"/>
    <n v="3749.6301645583203"/>
    <n v="14.88933222193906"/>
    <n v="2.4815553703231767"/>
    <m/>
    <n v="9807.6301645583208"/>
    <n v="980.76301645583214"/>
    <n v="0.16189551278571016"/>
    <n v="3.8944924544903987"/>
    <n v="0.64908207574839982"/>
    <n v="24.055592322964923"/>
    <n v="4.0092653871608208"/>
    <n v="27.656148365436817"/>
    <n v="31.550640819927217"/>
    <n v="51.71174068840174"/>
    <n v="4.6093580609061364"/>
    <n v="5.2584401366545359"/>
    <n v="8.6186234480669572"/>
    <n v="4"/>
    <n v="2.7656148365436817"/>
    <n v="696.47400300291724"/>
    <n v="0.11496764658351226"/>
    <n v="621"/>
    <m/>
    <n v="13565"/>
    <n v="807"/>
    <n v="242"/>
    <n v="3.33"/>
    <n v="935"/>
    <n v="241"/>
    <n v="3.88"/>
    <n v="805"/>
    <n v="242"/>
    <n v="3.33"/>
    <n v="841"/>
    <n v="243"/>
    <n v="3.4609053497942388"/>
    <n v="3388"/>
    <n v="968"/>
    <n v="3.5"/>
    <n v="1362.48"/>
    <n v="14"/>
    <n v="97.32"/>
    <n v="1329.86"/>
    <n v="14"/>
    <n v="94.99"/>
    <n v="1444.1000000000001"/>
    <n v="14"/>
    <n v="103.15"/>
    <n v="1490.7199999999998"/>
    <n v="16"/>
    <n v="93.169999999999987"/>
    <n v="5627.16"/>
    <n v="58"/>
    <n v="97.02"/>
    <n v="305.36"/>
    <n v="8"/>
    <n v="38.17"/>
    <n v="240.31"/>
    <n v="7"/>
    <n v="34.33"/>
    <n v="346.41"/>
    <n v="9"/>
    <n v="38.49"/>
    <n v="360.92999999999995"/>
    <n v="9"/>
    <n v="40.103333333333325"/>
    <n v="1253.01"/>
    <n v="33"/>
    <n v="37.97"/>
    <n v="97.98"/>
    <n v="3.73"/>
    <n v="9.94"/>
    <n v="3.49"/>
    <n v="4.01"/>
    <x v="2"/>
    <n v="3.85"/>
    <n v="9.77"/>
    <n v="9.39"/>
    <n v="10.01"/>
    <n v="10.53"/>
    <n v="94.33"/>
    <n v="94.05"/>
    <n v="105.83"/>
    <n v="97.44"/>
  </r>
  <r>
    <x v="0"/>
    <s v="APC"/>
    <x v="7"/>
    <n v="951"/>
    <n v="74"/>
    <n v="44"/>
    <n v="276.5"/>
    <n v="1659"/>
    <n v="0"/>
    <n v="35"/>
    <n v="1"/>
    <n v="36"/>
    <n v="216"/>
    <n v="312.5"/>
    <n v="1875"/>
    <n v="0.88480000000000003"/>
    <n v="0.5732368896925859"/>
    <n v="0.26763110307414106"/>
    <n v="0.15913200723327306"/>
    <n v="352"/>
    <n v="162"/>
    <n v="2033"/>
    <n v="5117"/>
    <n v="800"/>
    <n v="852.83333333333326"/>
    <n v="133.33333333333326"/>
    <n v="0.18531387537641869"/>
    <m/>
    <n v="710"/>
    <n v="196"/>
    <n v="0"/>
    <n v="0"/>
    <n v="906"/>
    <n v="167"/>
    <n v="25"/>
    <n v="0"/>
    <n v="0"/>
    <n v="192"/>
    <n v="129"/>
    <n v="5"/>
    <n v="0"/>
    <n v="0"/>
    <n v="134"/>
    <n v="2862"/>
    <n v="477"/>
    <n v="264"/>
    <n v="3"/>
    <n v="1095"/>
    <n v="6158"/>
    <n v="7520"/>
    <n v="18458"/>
    <n v="1288.3333333333335"/>
    <n v="7730"/>
    <n v="14.327037516170762"/>
    <n v="2.3878395860284605"/>
    <s v="Infill Drilling Program Increasing Revisions"/>
    <n v="2281"/>
    <m/>
    <n v="394"/>
    <n v="394"/>
    <n v="956"/>
    <n v="0"/>
    <n v="783.57153143206108"/>
    <n v="0"/>
    <n v="652"/>
    <n v="652"/>
    <n v="973"/>
    <n v="0"/>
    <n v="797.50533481526725"/>
    <n v="15169"/>
    <n v="16375"/>
    <n v="0.81963549312977102"/>
    <n v="4908.0768662473283"/>
    <n v="17.750730076843865"/>
    <n v="2.9584550128073106"/>
    <m/>
    <n v="12428.076866247327"/>
    <n v="1242.8076866247329"/>
    <n v="0.16526697960435277"/>
    <n v="4.4947836767621441"/>
    <n v="0.74913061279369075"/>
    <n v="27.197106690777577"/>
    <n v="4.5328511151295965"/>
    <n v="32.077767593014627"/>
    <n v="36.572551269776774"/>
    <n v="59.274874283792201"/>
    <n v="5.3462945988357706"/>
    <n v="6.0954252116294612"/>
    <n v="9.879145713965368"/>
    <n v="4"/>
    <n v="3.2077767593014626"/>
    <n v="886.9502739468544"/>
    <n v="0.11794551515250723"/>
    <n v="478"/>
    <m/>
    <n v="15092"/>
    <n v="1217"/>
    <n v="243"/>
    <n v="5.01"/>
    <n v="991"/>
    <n v="238"/>
    <n v="4.16"/>
    <n v="830"/>
    <n v="230"/>
    <n v="3.62"/>
    <n v="808.15000000000009"/>
    <n v="234"/>
    <n v="3.4536324786324792"/>
    <n v="3846.15"/>
    <n v="945"/>
    <n v="4.07"/>
    <n v="1517.44"/>
    <n v="16"/>
    <n v="94.84"/>
    <n v="1776.42"/>
    <n v="18"/>
    <n v="98.69"/>
    <n v="1851.8000000000002"/>
    <n v="20"/>
    <n v="92.59"/>
    <n v="1365.599999999999"/>
    <n v="20"/>
    <n v="68.279999999999944"/>
    <n v="6511.2599999999993"/>
    <n v="74"/>
    <n v="87.99"/>
    <n v="390.15000000000003"/>
    <n v="9"/>
    <n v="43.35"/>
    <n v="411.29"/>
    <n v="11"/>
    <n v="37.39"/>
    <n v="386.21"/>
    <n v="11"/>
    <n v="35.11"/>
    <n v="373.46999999999986"/>
    <n v="13"/>
    <n v="28.728461538461527"/>
    <n v="1561.12"/>
    <n v="44"/>
    <n v="35.479999999999997"/>
    <n v="93.17"/>
    <n v="4.37"/>
    <n v="9.56"/>
    <n v="5.21"/>
    <n v="4.6100000000000003"/>
    <x v="3"/>
    <n v="3.8"/>
    <n v="11.19"/>
    <n v="10.15"/>
    <n v="9.83"/>
    <n v="7.41"/>
    <n v="98.68"/>
    <n v="103.35"/>
    <n v="97.87"/>
    <n v="73.209999999999994"/>
  </r>
  <r>
    <x v="0"/>
    <s v="APC"/>
    <x v="8"/>
    <n v="854"/>
    <n v="85"/>
    <n v="45"/>
    <n v="272.33333333333337"/>
    <n v="1634"/>
    <n v="5"/>
    <n v="31"/>
    <n v="2"/>
    <n v="33.833333333333329"/>
    <n v="203"/>
    <n v="306.16666666666669"/>
    <n v="1837"/>
    <n v="0.88949373979314095"/>
    <n v="0.52264381884944922"/>
    <n v="0.31211750305997549"/>
    <n v="0.16523867809057524"/>
    <n v="193"/>
    <n v="68"/>
    <n v="807"/>
    <n v="2373"/>
    <n v="-2744"/>
    <n v="395.5"/>
    <n v="-457.33333333333326"/>
    <n v="-0.5362517099863201"/>
    <m/>
    <n v="-888"/>
    <n v="60"/>
    <n v="8"/>
    <n v="0"/>
    <n v="-820"/>
    <n v="2"/>
    <n v="15"/>
    <n v="0"/>
    <n v="0"/>
    <n v="17"/>
    <n v="-99"/>
    <n v="4"/>
    <n v="0"/>
    <n v="0"/>
    <n v="-95"/>
    <n v="-1288"/>
    <n v="-214.66666666666666"/>
    <n v="293"/>
    <n v="81"/>
    <n v="503"/>
    <n v="3660"/>
    <n v="4537"/>
    <n v="18115"/>
    <n v="754.83333333333337"/>
    <n v="4529"/>
    <n v="23.998675204239344"/>
    <n v="3.9997792007065578"/>
    <m/>
    <n v="2048"/>
    <m/>
    <n v="398"/>
    <n v="398"/>
    <n v="26"/>
    <n v="0"/>
    <n v="20.137853210834383"/>
    <n v="0"/>
    <n v="218"/>
    <n v="218"/>
    <n v="989"/>
    <n v="0"/>
    <n v="766.01295482750788"/>
    <n v="8260"/>
    <n v="9486"/>
    <n v="0.77453281580132238"/>
    <n v="3450.1508080383423"/>
    <n v="12.668852416297462"/>
    <n v="2.1114754027162439"/>
    <m/>
    <n v="7987.1508080383428"/>
    <n v="798.71508080383433"/>
    <n v="0.17604476103236374"/>
    <n v="2.9328583138451685"/>
    <n v="0.48880971897419484"/>
    <n v="16.659730722154219"/>
    <n v="2.7766217870257037"/>
    <n v="36.667527620536802"/>
    <n v="39.600385934381968"/>
    <n v="53.327258342691024"/>
    <n v="6.1112546034228021"/>
    <n v="6.6000643223969968"/>
    <n v="8.8878763904485059"/>
    <n v="4"/>
    <n v="3.6667527620536804"/>
    <n v="998.57900219928581"/>
    <n v="0.22009676045829532"/>
    <n v="369"/>
    <m/>
    <n v="15751"/>
    <n v="641"/>
    <n v="246"/>
    <n v="2.6"/>
    <n v="487"/>
    <n v="215"/>
    <n v="2.2799999999999998"/>
    <n v="484.41"/>
    <n v="201"/>
    <n v="2.41"/>
    <n v="394.59"/>
    <n v="190"/>
    <n v="2.0767894736842103"/>
    <n v="2007"/>
    <n v="852"/>
    <n v="2.36"/>
    <n v="972.18"/>
    <n v="22"/>
    <n v="44.19"/>
    <n v="1136.94"/>
    <n v="21"/>
    <n v="54.14"/>
    <n v="913.07999999999993"/>
    <n v="21"/>
    <n v="43.48"/>
    <n v="802.80000000000007"/>
    <n v="21"/>
    <n v="38.228571428571435"/>
    <n v="3825"/>
    <n v="85"/>
    <n v="45"/>
    <n v="207.48"/>
    <n v="12"/>
    <n v="17.29"/>
    <n v="222"/>
    <n v="12"/>
    <n v="18.5"/>
    <n v="195.12"/>
    <n v="12"/>
    <n v="16.260000000000002"/>
    <n v="141.75000000000003"/>
    <n v="9"/>
    <n v="15.750000000000004"/>
    <n v="766.35"/>
    <n v="45"/>
    <n v="17.03"/>
    <n v="48.66"/>
    <n v="2.62"/>
    <n v="4.97"/>
    <n v="2.9"/>
    <n v="2.75"/>
    <x v="4"/>
    <n v="2.12"/>
    <n v="5.43"/>
    <n v="5.2"/>
    <n v="4.68"/>
    <n v="4.5999999999999996"/>
    <n v="48.49"/>
    <n v="57.85"/>
    <n v="46.64"/>
    <n v="41.94"/>
  </r>
  <r>
    <x v="0"/>
    <s v="APC"/>
    <x v="9"/>
    <n v="766"/>
    <n v="86"/>
    <n v="44"/>
    <n v="257.66666666666669"/>
    <n v="1546"/>
    <n v="5"/>
    <n v="30"/>
    <n v="2"/>
    <n v="32.833333333333329"/>
    <n v="197"/>
    <n v="290.5"/>
    <n v="1743"/>
    <n v="0.88697647733792317"/>
    <n v="0.49547218628719275"/>
    <n v="0.33376455368693397"/>
    <n v="0.17076326002587322"/>
    <n v="181"/>
    <n v="75"/>
    <n v="762"/>
    <n v="2298"/>
    <n v="-75"/>
    <n v="383"/>
    <n v="-12.5"/>
    <n v="-3.1605562579013903E-2"/>
    <m/>
    <n v="310"/>
    <n v="59"/>
    <n v="68"/>
    <n v="0"/>
    <n v="437"/>
    <n v="11"/>
    <n v="24"/>
    <n v="81"/>
    <n v="0"/>
    <n v="116"/>
    <n v="45"/>
    <n v="6"/>
    <n v="5"/>
    <n v="0"/>
    <n v="56"/>
    <n v="1469"/>
    <n v="244.83333333333331"/>
    <n v="178"/>
    <n v="2498"/>
    <n v="398"/>
    <n v="1780"/>
    <n v="4854"/>
    <n v="16911"/>
    <n v="507.16666666666669"/>
    <n v="3043"/>
    <n v="33.344068353598423"/>
    <n v="5.5573447255997372"/>
    <m/>
    <n v="1633"/>
    <m/>
    <n v="317"/>
    <n v="317"/>
    <n v="-882"/>
    <n v="0"/>
    <n v="-662.47030884280582"/>
    <n v="0"/>
    <n v="189"/>
    <n v="189"/>
    <n v="1022"/>
    <n v="0"/>
    <n v="767.62432611944166"/>
    <n v="7153"/>
    <n v="8447"/>
    <n v="0.7511001234045418"/>
    <n v="2244.1540172766358"/>
    <n v="8.7095239997799574"/>
    <n v="1.4515873332966596"/>
    <m/>
    <n v="7098.1540172766363"/>
    <n v="709.8154017276637"/>
    <n v="0.14623308647047048"/>
    <n v="2.7547816367179703"/>
    <n v="0.4591302727863284"/>
    <n v="18.838292367399738"/>
    <n v="3.1397153945666236"/>
    <n v="42.053592353378377"/>
    <n v="44.808373990096349"/>
    <n v="60.891884720778116"/>
    <n v="7.0089320588963968"/>
    <n v="7.4680623316827255"/>
    <n v="10.14864745346302"/>
    <n v="4"/>
    <n v="4.2053592353378377"/>
    <n v="1083.580896305383"/>
    <n v="0.22323463047082467"/>
    <n v="327"/>
    <m/>
    <n v="15323"/>
    <n v="641"/>
    <n v="210"/>
    <n v="1.75"/>
    <n v="487"/>
    <n v="199"/>
    <n v="1.61"/>
    <n v="434.23999999999995"/>
    <n v="184"/>
    <n v="2.36"/>
    <n v="394.59"/>
    <n v="190"/>
    <n v="2.0767894736842103"/>
    <n v="1562.64"/>
    <n v="766"/>
    <n v="2.04"/>
    <n v="588.84"/>
    <n v="21"/>
    <n v="28.04"/>
    <n v="805"/>
    <n v="20"/>
    <n v="40.25"/>
    <n v="922.24"/>
    <n v="22"/>
    <n v="41.92"/>
    <n v="1004.0200000000006"/>
    <n v="22"/>
    <n v="45.637272727272752"/>
    <n v="3320.1000000000004"/>
    <n v="85"/>
    <n v="39.06"/>
    <n v="164.78"/>
    <n v="11"/>
    <n v="14.98"/>
    <n v="254.8"/>
    <n v="13"/>
    <n v="19.600000000000001"/>
    <n v="210.42999999999998"/>
    <n v="11"/>
    <n v="19.13"/>
    <n v="220.07000000000008"/>
    <n v="9"/>
    <n v="24.452222222222233"/>
    <n v="850.08"/>
    <n v="44"/>
    <n v="19.32"/>
    <n v="43.2"/>
    <n v="2.52"/>
    <n v="5.04"/>
    <n v="1.99"/>
    <n v="2.15"/>
    <x v="1"/>
    <n v="3.04"/>
    <n v="4.0199999999999996"/>
    <n v="5"/>
    <n v="5.04"/>
    <n v="6.05"/>
    <n v="33.35"/>
    <n v="45.46"/>
    <n v="44.85"/>
    <n v="49.14"/>
  </r>
  <r>
    <x v="1"/>
    <s v="APA"/>
    <x v="0"/>
    <n v="280.90199999999999"/>
    <n v="35.938000000000002"/>
    <n v="0"/>
    <n v="82.754999999999995"/>
    <n v="496.53"/>
    <n v="374.76400000000007"/>
    <n v="59.635999999999996"/>
    <n v="0"/>
    <n v="122.09666666666666"/>
    <n v="732.58"/>
    <n v="204.85166666666666"/>
    <n v="1229.1100000000001"/>
    <n v="0.40397523411248781"/>
    <n v="0.56573016736148873"/>
    <n v="0.43426983263851132"/>
    <n v="0"/>
    <n v="156.655"/>
    <n v="0"/>
    <n v="727.85299999999995"/>
    <n v="1667.7829999999999"/>
    <m/>
    <n v="277.96383333333335"/>
    <m/>
    <m/>
    <m/>
    <n v="8.8810000000000002"/>
    <n v="217.56"/>
    <n v="79.531999999999996"/>
    <n v="0"/>
    <n v="305.97300000000001"/>
    <n v="5.5460000000000003"/>
    <n v="31.504000000000001"/>
    <n v="56.954000000000001"/>
    <n v="0"/>
    <n v="94.004000000000005"/>
    <n v="0"/>
    <n v="0"/>
    <n v="0"/>
    <n v="0"/>
    <n v="0"/>
    <n v="869.99700000000007"/>
    <n v="144.99950000000001"/>
    <n v="0"/>
    <n v="965.476"/>
    <n v="139.09200000000001"/>
    <n v="1470.98"/>
    <n v="2575.5479999999998"/>
    <m/>
    <m/>
    <m/>
    <m/>
    <m/>
    <s v="Extensions, discoveries, purchases &amp;  and revisions. Excludes sales. Capital is US costs incurred less cap. Interest and asset retirement costs"/>
    <m/>
    <m/>
    <m/>
    <m/>
    <m/>
    <m/>
    <m/>
    <m/>
    <m/>
    <m/>
    <m/>
    <m/>
    <m/>
    <n v="0"/>
    <n v="0"/>
    <m/>
    <m/>
    <m/>
    <m/>
    <m/>
    <m/>
    <m/>
    <m/>
    <m/>
    <m/>
    <m/>
    <m/>
    <m/>
    <m/>
    <m/>
    <m/>
    <m/>
    <m/>
    <n v="4"/>
    <m/>
    <m/>
    <m/>
    <m/>
    <m/>
    <m/>
    <m/>
    <m/>
    <m/>
    <m/>
    <m/>
    <m/>
    <m/>
    <m/>
    <m/>
    <m/>
    <m/>
    <m/>
    <m/>
    <m/>
    <m/>
    <m/>
    <m/>
    <m/>
    <m/>
    <m/>
    <m/>
    <m/>
    <m/>
    <m/>
    <m/>
    <m/>
    <m/>
    <m/>
    <m/>
    <m/>
    <m/>
    <m/>
    <m/>
    <m/>
    <m/>
    <m/>
    <m/>
    <m/>
    <m/>
    <m/>
    <m/>
    <m/>
    <m/>
    <m/>
    <m/>
    <n v="72.34"/>
    <n v="6.97"/>
    <n v="12.91"/>
    <m/>
    <m/>
    <x v="0"/>
    <m/>
    <m/>
    <m/>
    <m/>
    <m/>
    <m/>
    <m/>
    <m/>
    <m/>
  </r>
  <r>
    <x v="1"/>
    <s v="APA"/>
    <x v="1"/>
    <n v="248.83500000000001"/>
    <n v="35.057000000000002"/>
    <n v="0"/>
    <n v="76.529500000000013"/>
    <n v="459.17700000000002"/>
    <n v="343.20999999999992"/>
    <n v="61.861999999999995"/>
    <n v="0"/>
    <n v="119.06366666666665"/>
    <n v="714.38199999999983"/>
    <n v="195.59316666666666"/>
    <n v="1173.5589999999997"/>
    <n v="0.3912687815440043"/>
    <n v="0.54191520916770652"/>
    <n v="0.45808479083229336"/>
    <n v="0"/>
    <n v="151.24799999999999"/>
    <n v="0"/>
    <n v="670.19399999999996"/>
    <n v="1577.6819999999998"/>
    <n v="-90.101000000000113"/>
    <n v="262.947"/>
    <n v="-15.016833333333352"/>
    <n v="-5.402441444720333E-2"/>
    <m/>
    <n v="-175.834"/>
    <n v="247.1"/>
    <n v="27.550999999999998"/>
    <n v="0"/>
    <n v="98.816999999999993"/>
    <n v="-31.54"/>
    <n v="38.01"/>
    <n v="1.919"/>
    <n v="0"/>
    <n v="8.3889999999999993"/>
    <n v="0"/>
    <n v="0"/>
    <n v="0"/>
    <n v="0"/>
    <n v="0"/>
    <n v="149.15099999999998"/>
    <n v="24.858499999999999"/>
    <n v="75.436999999999998"/>
    <n v="69.641999999999996"/>
    <n v="382.01900000000001"/>
    <n v="1801.454"/>
    <n v="2328.5519999999997"/>
    <m/>
    <m/>
    <m/>
    <m/>
    <m/>
    <s v="Extensions, discoveries, purchases &amp;  and revisions. Excludes sales. Capital is US costs incurred less cap. Interest and asset retirement costs"/>
    <m/>
    <m/>
    <m/>
    <m/>
    <m/>
    <m/>
    <m/>
    <m/>
    <m/>
    <m/>
    <m/>
    <m/>
    <m/>
    <n v="0"/>
    <n v="0"/>
    <m/>
    <m/>
    <m/>
    <m/>
    <m/>
    <m/>
    <m/>
    <m/>
    <m/>
    <m/>
    <m/>
    <m/>
    <m/>
    <m/>
    <m/>
    <m/>
    <m/>
    <m/>
    <n v="4"/>
    <m/>
    <m/>
    <m/>
    <m/>
    <m/>
    <m/>
    <m/>
    <m/>
    <m/>
    <m/>
    <m/>
    <m/>
    <m/>
    <m/>
    <m/>
    <m/>
    <m/>
    <m/>
    <m/>
    <m/>
    <m/>
    <m/>
    <m/>
    <m/>
    <m/>
    <m/>
    <m/>
    <m/>
    <m/>
    <m/>
    <m/>
    <m/>
    <m/>
    <m/>
    <m/>
    <m/>
    <m/>
    <m/>
    <m/>
    <m/>
    <m/>
    <m/>
    <m/>
    <m/>
    <m/>
    <m/>
    <m/>
    <m/>
    <m/>
    <m/>
    <m/>
    <n v="99.67"/>
    <n v="8.86"/>
    <n v="15.2"/>
    <m/>
    <m/>
    <x v="0"/>
    <m/>
    <m/>
    <m/>
    <m/>
    <m/>
    <m/>
    <m/>
    <m/>
    <m/>
  </r>
  <r>
    <x v="1"/>
    <s v="APA"/>
    <x v="2"/>
    <n v="243.12"/>
    <n v="34.773000000000003"/>
    <n v="0"/>
    <n v="75.293000000000006"/>
    <n v="451.75800000000004"/>
    <n v="398.84699999999998"/>
    <n v="71.146999999999991"/>
    <n v="0"/>
    <n v="137.62149999999997"/>
    <n v="825.72899999999993"/>
    <n v="212.91449999999998"/>
    <n v="1277.4870000000001"/>
    <n v="0.35363021306674747"/>
    <n v="0.53816423837541338"/>
    <n v="0.46183576162458662"/>
    <n v="0"/>
    <n v="150.62700000000001"/>
    <n v="0"/>
    <n v="652.76599999999996"/>
    <n v="1556.528"/>
    <n v="-21.153999999999769"/>
    <n v="259.42133333333334"/>
    <n v="-3.5256666666666661"/>
    <n v="-1.3408278727905875E-2"/>
    <m/>
    <n v="-54.591000000000001"/>
    <n v="150.66800000000001"/>
    <n v="47.781999999999996"/>
    <n v="0"/>
    <n v="143.85899999999998"/>
    <n v="12.981"/>
    <n v="17.641999999999999"/>
    <n v="13.023"/>
    <n v="0"/>
    <n v="43.646000000000001"/>
    <n v="0"/>
    <n v="0"/>
    <n v="0"/>
    <n v="0"/>
    <n v="0"/>
    <n v="405.73499999999996"/>
    <n v="67.622500000000002"/>
    <n v="0"/>
    <n v="196"/>
    <n v="233"/>
    <n v="695"/>
    <n v="1124"/>
    <n v="6028.0999999999995"/>
    <n v="237.48050000000001"/>
    <n v="1424.883"/>
    <n v="25.383557807904225"/>
    <n v="4.2305929679840375"/>
    <s v="Extensions, discoveries, purchases &amp;  and revisions. Excludes sales. Capital is US costs incurred less cap. Interest and asset retirement costs"/>
    <n v="797.23800000000006"/>
    <n v="343.88299999999998"/>
    <n v="0"/>
    <n v="121.60741856003231"/>
    <n v="686"/>
    <n v="0"/>
    <n v="242.59032616378877"/>
    <n v="0"/>
    <n v="106.792"/>
    <n v="106.792"/>
    <n v="309"/>
    <n v="0"/>
    <n v="109.27173583762497"/>
    <n v="8574"/>
    <n v="8574"/>
    <n v="0.35363021306674747"/>
    <n v="1377.499480561446"/>
    <n v="18.295186545381988"/>
    <n v="3.0491977575636646"/>
    <s v="Company had federal and state operating losses in 09 and carryforwards"/>
    <n v="2501.499480561446"/>
    <n v="250.14994805614461"/>
    <n v="0.22255333456952367"/>
    <n v="3.322353313802672"/>
    <n v="0.55372555230044529"/>
    <n v="14.928346592644733"/>
    <n v="2.4880577654407889"/>
    <n v="43.678744353286213"/>
    <n v="47.001097667088885"/>
    <n v="58.607090945930949"/>
    <n v="7.2797907255477021"/>
    <n v="7.8335162778481475"/>
    <n v="9.7678484909884915"/>
    <n v="4"/>
    <n v="4.3678744353286216"/>
    <n v="328.87036985919792"/>
    <n v="0.29258929702775616"/>
    <m/>
    <n v="1479"/>
    <m/>
    <m/>
    <m/>
    <m/>
    <m/>
    <m/>
    <m/>
    <m/>
    <m/>
    <m/>
    <m/>
    <m/>
    <m/>
    <m/>
    <m/>
    <m/>
    <m/>
    <m/>
    <m/>
    <m/>
    <m/>
    <m/>
    <m/>
    <m/>
    <m/>
    <m/>
    <m/>
    <m/>
    <m/>
    <m/>
    <m/>
    <m/>
    <m/>
    <m/>
    <m/>
    <m/>
    <m/>
    <m/>
    <m/>
    <m/>
    <m/>
    <m/>
    <m/>
    <m/>
    <m/>
    <m/>
    <n v="61.95"/>
    <n v="3.94"/>
    <n v="8.99"/>
    <m/>
    <m/>
    <x v="0"/>
    <m/>
    <m/>
    <m/>
    <m/>
    <m/>
    <m/>
    <m/>
    <m/>
    <m/>
  </r>
  <r>
    <x v="1"/>
    <s v="APA"/>
    <x v="3"/>
    <n v="266.75900000000001"/>
    <n v="40.277999999999999"/>
    <n v="0"/>
    <n v="84.737833333333327"/>
    <n v="508.42700000000002"/>
    <n v="422.60199999999998"/>
    <n v="84.865000000000009"/>
    <n v="0"/>
    <n v="155.29866666666669"/>
    <n v="931.79200000000003"/>
    <n v="240.03650000000002"/>
    <n v="1440.2190000000001"/>
    <n v="0.35302061700338627"/>
    <n v="0.52467512543590333"/>
    <n v="0.47532487456409672"/>
    <n v="0"/>
    <n v="214.11699999999999"/>
    <n v="30.361000000000001"/>
    <n v="988.86900000000003"/>
    <n v="2455.7370000000001"/>
    <n v="899.20900000000006"/>
    <n v="409.28949999999998"/>
    <n v="149.86816666666664"/>
    <n v="0.5777017824285845"/>
    <m/>
    <n v="47.988999999999997"/>
    <n v="951.654"/>
    <n v="102.18"/>
    <n v="0"/>
    <n v="1101.8230000000001"/>
    <n v="7.5970000000000004"/>
    <n v="195.131"/>
    <n v="72.927999999999997"/>
    <n v="0"/>
    <n v="275.65600000000001"/>
    <n v="0"/>
    <n v="0"/>
    <n v="0"/>
    <n v="0"/>
    <n v="0"/>
    <n v="2755.759"/>
    <n v="459.29316666666671"/>
    <n v="2497"/>
    <n v="5604"/>
    <n v="261"/>
    <n v="573"/>
    <n v="8935"/>
    <n v="12387.552"/>
    <n v="551.7741666666667"/>
    <n v="3310.645"/>
    <n v="22.450402263003127"/>
    <n v="3.7417337105005215"/>
    <s v="Extensions, discoveries, purchases &amp;  and revisions. Excludes sales. Capital is US costs incurred less cap. Interest and asset retirement costs"/>
    <n v="966"/>
    <n v="380"/>
    <n v="0"/>
    <n v="134.14783446128675"/>
    <n v="1170"/>
    <n v="0"/>
    <n v="413.03412189396187"/>
    <n v="0"/>
    <n v="177"/>
    <n v="177"/>
    <n v="345"/>
    <n v="0"/>
    <n v="121.79211286616824"/>
    <n v="12183"/>
    <n v="12183"/>
    <n v="0.35302061700338622"/>
    <n v="1811.9740692214168"/>
    <n v="21.383294780427676"/>
    <n v="3.563882463404612"/>
    <m/>
    <n v="10746.974069221416"/>
    <n v="1074.6974069221417"/>
    <n v="0.12027950832928279"/>
    <n v="12.682616071791724"/>
    <n v="2.1137693452986204"/>
    <n v="105.44286593748956"/>
    <n v="17.573810989581592"/>
    <n v="43.833697043430803"/>
    <n v="56.51631311522253"/>
    <n v="149.27656298092035"/>
    <n v="7.3056161739051335"/>
    <n v="9.4193855192037539"/>
    <n v="24.879427163486724"/>
    <n v="4"/>
    <n v="4.3833697043430799"/>
    <n v="371.4372514450065"/>
    <n v="4.1571041012311863E-2"/>
    <m/>
    <n v="5048"/>
    <m/>
    <m/>
    <m/>
    <m/>
    <m/>
    <m/>
    <m/>
    <m/>
    <m/>
    <m/>
    <m/>
    <m/>
    <m/>
    <m/>
    <m/>
    <m/>
    <m/>
    <m/>
    <m/>
    <m/>
    <m/>
    <m/>
    <m/>
    <m/>
    <m/>
    <m/>
    <m/>
    <m/>
    <m/>
    <m/>
    <m/>
    <m/>
    <m/>
    <m/>
    <m/>
    <m/>
    <m/>
    <m/>
    <m/>
    <m/>
    <m/>
    <m/>
    <m/>
    <m/>
    <m/>
    <m/>
    <n v="79.48"/>
    <n v="4.37"/>
    <n v="11.83"/>
    <m/>
    <m/>
    <x v="0"/>
    <m/>
    <m/>
    <m/>
    <m/>
    <m/>
    <m/>
    <m/>
    <m/>
    <m/>
  </r>
  <r>
    <x v="1"/>
    <s v="APA"/>
    <x v="4"/>
    <n v="315.63099999999997"/>
    <n v="43.587000000000003"/>
    <n v="8.0709999999999997"/>
    <n v="104.26316666666666"/>
    <n v="625.57900000000006"/>
    <n v="510.13900000000001"/>
    <n v="80.492999999999995"/>
    <n v="3.2949999999999999"/>
    <n v="168.81116666666665"/>
    <n v="1012.867"/>
    <n v="273.0743333333333"/>
    <n v="1638.4459999999999"/>
    <n v="0.38181240028661312"/>
    <n v="0.50454219211322626"/>
    <n v="0.41804792040653543"/>
    <n v="7.7409887480238304E-2"/>
    <n v="205.76300000000001"/>
    <n v="52.542999999999999"/>
    <n v="760.23800000000006"/>
    <n v="2310.0740000000001"/>
    <n v="-145.66300000000001"/>
    <n v="385.01233333333334"/>
    <n v="-24.277166666666631"/>
    <n v="-5.9315390858222926E-2"/>
    <m/>
    <n v="-7.7160000000000002"/>
    <n v="169.506"/>
    <n v="67.594999999999999"/>
    <n v="0"/>
    <n v="229.38499999999999"/>
    <n v="-8.9039999999999999"/>
    <n v="45.676000000000002"/>
    <n v="5.0970000000000004"/>
    <n v="0"/>
    <n v="41.869000000000007"/>
    <n v="1.7130000000000001"/>
    <n v="43.914999999999999"/>
    <n v="0.58599999999999997"/>
    <n v="0"/>
    <n v="46.213999999999999"/>
    <n v="757.88300000000004"/>
    <n v="126.31383333333333"/>
    <n v="116"/>
    <n v="368"/>
    <n v="418"/>
    <n v="2300"/>
    <n v="3202"/>
    <n v="13261"/>
    <n v="653.22950000000014"/>
    <n v="3919.3770000000004"/>
    <n v="20.300675336922165"/>
    <n v="3.3834458894870276"/>
    <s v="Extensions, discoveries, purchases &amp;  and revisions. Excludes sales. Capital is US costs incurred less cap. Interest and asset retirement costs"/>
    <n v="1231"/>
    <n v="459"/>
    <n v="0"/>
    <n v="175.25189173155542"/>
    <n v="1686"/>
    <n v="0"/>
    <n v="643.73570688322968"/>
    <n v="0"/>
    <n v="259"/>
    <n v="259"/>
    <n v="433"/>
    <n v="0"/>
    <n v="165.32476932410347"/>
    <n v="16810"/>
    <n v="16810"/>
    <n v="0.38181240028661312"/>
    <n v="2474.3123679388882"/>
    <n v="23.731413950329742"/>
    <n v="3.9552356583882897"/>
    <m/>
    <n v="5676.3123679388882"/>
    <n v="567.63123679388889"/>
    <n v="0.17727396526979666"/>
    <n v="5.4442163511935879"/>
    <n v="0.90736939186559784"/>
    <n v="30.710749561606129"/>
    <n v="5.1184582602676878"/>
    <n v="44.032089287251907"/>
    <n v="49.476305638445496"/>
    <n v="74.742838848858042"/>
    <n v="7.3386815478753178"/>
    <n v="8.2460509397409147"/>
    <n v="12.457139808143005"/>
    <n v="4"/>
    <n v="4.4032089287251903"/>
    <n v="459.0925064038293"/>
    <n v="0.14337679775260129"/>
    <m/>
    <n v="5530"/>
    <m/>
    <m/>
    <m/>
    <m/>
    <m/>
    <m/>
    <m/>
    <m/>
    <m/>
    <m/>
    <m/>
    <m/>
    <m/>
    <m/>
    <m/>
    <m/>
    <m/>
    <m/>
    <m/>
    <m/>
    <m/>
    <m/>
    <m/>
    <m/>
    <m/>
    <m/>
    <m/>
    <m/>
    <m/>
    <m/>
    <m/>
    <m/>
    <m/>
    <m/>
    <m/>
    <m/>
    <m/>
    <m/>
    <m/>
    <m/>
    <m/>
    <m/>
    <m/>
    <m/>
    <m/>
    <m/>
    <n v="94.88"/>
    <n v="4"/>
    <n v="15.12"/>
    <m/>
    <m/>
    <x v="0"/>
    <m/>
    <m/>
    <m/>
    <m/>
    <m/>
    <m/>
    <m/>
    <m/>
    <m/>
  </r>
  <r>
    <x v="1"/>
    <s v="APA"/>
    <x v="5"/>
    <n v="312.60000000000002"/>
    <n v="49.088999999999999"/>
    <n v="12.272"/>
    <n v="113.461"/>
    <n v="680.76600000000008"/>
    <n v="526.803"/>
    <n v="79.751000000000005"/>
    <n v="3.984"/>
    <n v="171.53550000000001"/>
    <n v="1029.213"/>
    <n v="284.99650000000003"/>
    <n v="1709.979"/>
    <n v="0.39811366104496021"/>
    <n v="0.45918861987819604"/>
    <n v="0.43265086681767301"/>
    <n v="0.10816051330413094"/>
    <n v="203.06800000000001"/>
    <n v="60.889000000000003"/>
    <n v="832.32"/>
    <n v="2416.0620000000004"/>
    <n v="105.98800000000028"/>
    <n v="402.67700000000002"/>
    <n v="17.664666666666676"/>
    <n v="4.5880781308304433E-2"/>
    <m/>
    <n v="-156.84"/>
    <n v="365.863"/>
    <n v="313.88499999999999"/>
    <n v="0"/>
    <n v="522.90800000000002"/>
    <n v="-7.4740000000000002"/>
    <n v="84.656000000000006"/>
    <n v="15.942"/>
    <n v="0"/>
    <n v="93.123999999999995"/>
    <n v="-4.5590000000000002"/>
    <n v="71.965000000000003"/>
    <n v="0.23"/>
    <n v="0"/>
    <n v="67.63600000000001"/>
    <n v="1487.4680000000001"/>
    <n v="247.91133333333335"/>
    <n v="3334"/>
    <n v="1076"/>
    <n v="364"/>
    <n v="3777"/>
    <n v="8551"/>
    <n v="20688"/>
    <n v="833.51833333333343"/>
    <n v="5001.1099999999997"/>
    <n v="24.820089940033309"/>
    <n v="4.1366816566722191"/>
    <s v="Extensions, discoveries, purchases &amp;  and revisions. Excludes sales. Capital is US costs incurred less cap. Interest and asset retirement costs"/>
    <n v="1455"/>
    <n v="515"/>
    <n v="0"/>
    <n v="205.02853543815451"/>
    <n v="2590"/>
    <n v="0"/>
    <n v="1031.114382106447"/>
    <n v="0"/>
    <n v="292"/>
    <n v="292"/>
    <n v="501"/>
    <n v="0"/>
    <n v="199.45494418352507"/>
    <n v="16564"/>
    <n v="16564"/>
    <n v="0.39811366104496021"/>
    <n v="3182.5978617281266"/>
    <n v="28.05014817186634"/>
    <n v="4.6750246953110555"/>
    <m/>
    <n v="11733.597861728127"/>
    <n v="1173.3597861728128"/>
    <n v="0.13721901370281989"/>
    <n v="10.341525159947585"/>
    <n v="1.7235875266579306"/>
    <n v="75.365103427609483"/>
    <n v="12.560850571268247"/>
    <n v="52.870238111899653"/>
    <n v="63.211763271847239"/>
    <n v="128.23534153950914"/>
    <n v="8.8117063519832755"/>
    <n v="10.535293878641205"/>
    <n v="21.372556923251523"/>
    <n v="4"/>
    <n v="5.2870238111899654"/>
    <n v="599.87100864142462"/>
    <n v="7.0152146958417094E-2"/>
    <m/>
    <n v="8754"/>
    <m/>
    <n v="292"/>
    <n v="74.300254452926211"/>
    <n v="3.93"/>
    <n v="257"/>
    <n v="77.177177177177171"/>
    <n v="3.33"/>
    <n v="288"/>
    <n v="79.338842975206617"/>
    <n v="3.63"/>
    <n v="332.12400000000025"/>
    <n v="81.783725394690052"/>
    <n v="4.0610035602702439"/>
    <n v="1169.1240000000003"/>
    <n v="312.60000000000002"/>
    <n v="3.74"/>
    <n v="1172.9941344000001"/>
    <n v="11.490930000000001"/>
    <n v="102.08"/>
    <n v="1099.468773475"/>
    <n v="11.650617500000001"/>
    <n v="94.37"/>
    <n v="1133.291545925"/>
    <n v="12.136341250000001"/>
    <n v="93.38"/>
    <n v="1257.7635462000001"/>
    <n v="13.822111249999997"/>
    <n v="90.996485518809607"/>
    <n v="4663.518"/>
    <n v="49.1"/>
    <n v="94.98"/>
    <n v="88.604906137499995"/>
    <n v="2.0364262499999999"/>
    <n v="43.51"/>
    <n v="89.301661937500015"/>
    <n v="2.7069312500000002"/>
    <n v="32.99"/>
    <n v="100.73060124999999"/>
    <n v="3.5656849999999998"/>
    <n v="28.25"/>
    <n v="117.29983067500001"/>
    <n v="3.9909575000000004"/>
    <n v="29.391400603739829"/>
    <n v="395.93700000000001"/>
    <n v="12.3"/>
    <n v="32.19"/>
    <n v="94.05"/>
    <n v="2.75"/>
    <n v="10.98"/>
    <n v="2.41"/>
    <n v="2.2799999999999998"/>
    <x v="1"/>
    <n v="3.4"/>
    <n v="13.14"/>
    <n v="10.75"/>
    <n v="9.9600000000000009"/>
    <n v="10.08"/>
    <n v="102.98"/>
    <n v="93.29"/>
    <n v="92.17"/>
    <n v="88.01"/>
  </r>
  <r>
    <x v="1"/>
    <s v="APA"/>
    <x v="6"/>
    <n v="285.18700000000001"/>
    <n v="53.621000000000002"/>
    <n v="19.922000000000001"/>
    <n v="121.07416666666667"/>
    <n v="726.44500000000005"/>
    <n v="480.25"/>
    <n v="72.894000000000005"/>
    <n v="3.6729999999999983"/>
    <n v="156.60866666666669"/>
    <n v="939.65200000000004"/>
    <n v="277.68283333333335"/>
    <n v="1666.0970000000002"/>
    <n v="0.43601603027914937"/>
    <n v="0.39257892889344687"/>
    <n v="0.44287729972675149"/>
    <n v="0.16454377137980164"/>
    <n v="195.83500000000001"/>
    <n v="63.537999999999997"/>
    <n v="667.16"/>
    <n v="2223.3979999999997"/>
    <n v="-192.66400000000067"/>
    <n v="370.56633333333332"/>
    <n v="-32.110666666666702"/>
    <n v="-7.9742986727989684E-2"/>
    <m/>
    <n v="61.247"/>
    <n v="306.721"/>
    <n v="0.85499999999999998"/>
    <n v="0"/>
    <n v="368.82300000000004"/>
    <n v="1.6830000000000001"/>
    <n v="133.227"/>
    <n v="8.5000000000000006E-2"/>
    <n v="0"/>
    <n v="134.995"/>
    <n v="1.591"/>
    <n v="69.230999999999995"/>
    <n v="4.4999999999999998E-2"/>
    <n v="0"/>
    <n v="70.86699999999999"/>
    <n v="1603.9950000000001"/>
    <n v="267.33249999999998"/>
    <n v="195"/>
    <n v="17"/>
    <n v="562"/>
    <n v="4716"/>
    <n v="5490"/>
    <n v="17243"/>
    <n v="641.55766666666659"/>
    <n v="3849.3460000000005"/>
    <n v="26.87677335318779"/>
    <n v="4.4794622255312975"/>
    <s v="Extensions, discoveries, purchases &amp;  and revisions. Excludes sales. Capital is US costs incurred less cap. Interest and asset retirement costs"/>
    <n v="1404"/>
    <n v="482"/>
    <n v="0"/>
    <n v="210.15972659454999"/>
    <n v="1766"/>
    <n v="0"/>
    <n v="770.00430947297775"/>
    <n v="0"/>
    <n v="324"/>
    <n v="324"/>
    <n v="560"/>
    <n v="0"/>
    <n v="244.16897695632366"/>
    <n v="14771"/>
    <n v="14771"/>
    <n v="0.43601603027914937"/>
    <n v="2952.333013023851"/>
    <n v="24.384499966471111"/>
    <n v="4.0640833277451849"/>
    <m/>
    <n v="8442.3330130238501"/>
    <n v="844.23330130238503"/>
    <n v="0.15377655761427778"/>
    <n v="6.9728607228548753"/>
    <n v="1.162143453809146"/>
    <n v="45.34410726207765"/>
    <n v="7.5573512103462752"/>
    <n v="51.261273319658898"/>
    <n v="58.234134042513773"/>
    <n v="96.60538058173654"/>
    <n v="8.5435455532764824"/>
    <n v="9.7056890070856277"/>
    <n v="16.100896763622757"/>
    <n v="4"/>
    <n v="5.1261273319658898"/>
    <n v="620.64159494499347"/>
    <n v="0.11304947084608261"/>
    <m/>
    <n v="8363"/>
    <m/>
    <n v="288"/>
    <n v="76.8"/>
    <n v="3.75"/>
    <n v="319"/>
    <n v="78.535316249999994"/>
    <n v="4.07"/>
    <n v="286"/>
    <n v="75.776098750000003"/>
    <n v="3.75"/>
    <n v="202.16799999999989"/>
    <n v="54.088584999999981"/>
    <n v="3.7377202601990782"/>
    <n v="1095.1679999999999"/>
    <n v="285.2"/>
    <n v="3.84"/>
    <n v="1286.4324944375001"/>
    <n v="13.62024875"/>
    <n v="94.45"/>
    <n v="1394.29340445"/>
    <n v="14.3534425"/>
    <n v="97.14"/>
    <n v="1580.6029167499998"/>
    <n v="14.936712500000001"/>
    <n v="105.82"/>
    <n v="998.97518436250016"/>
    <n v="10.689596250000003"/>
    <n v="93.453032368972771"/>
    <n v="5260.3040000000001"/>
    <n v="53.6"/>
    <n v="98.14"/>
    <n v="121.2804699"/>
    <n v="4.49853375"/>
    <n v="26.96"/>
    <n v="127.26275055000001"/>
    <n v="5.2028924999999999"/>
    <n v="24.46"/>
    <n v="148.24999687499999"/>
    <n v="5.2477875000000003"/>
    <n v="28.25"/>
    <n v="146.27778267499991"/>
    <n v="4.9507862499999966"/>
    <n v="29.54637410875899"/>
    <n v="543.07099999999991"/>
    <n v="19.899999999999999"/>
    <n v="27.29"/>
    <n v="97.98"/>
    <n v="3.73"/>
    <n v="9.94"/>
    <n v="3.49"/>
    <n v="4.01"/>
    <x v="2"/>
    <n v="3.85"/>
    <n v="9.77"/>
    <n v="9.39"/>
    <n v="10.01"/>
    <n v="10.53"/>
    <n v="94.33"/>
    <n v="94.05"/>
    <n v="105.83"/>
    <n v="97.44"/>
  </r>
  <r>
    <x v="1"/>
    <s v="APA"/>
    <x v="7"/>
    <n v="215.82900000000001"/>
    <n v="48.789000000000001"/>
    <n v="21.463999999999999"/>
    <n v="106.22450000000001"/>
    <n v="637.34699999999998"/>
    <n v="375.59099999999995"/>
    <n v="69.623000000000005"/>
    <n v="3.1310000000000002"/>
    <n v="135.35249999999999"/>
    <n v="812.11500000000001"/>
    <n v="241.577"/>
    <n v="1449.462"/>
    <n v="0.43971280378512856"/>
    <n v="0.33863656689370158"/>
    <n v="0.45930082043219783"/>
    <n v="0.20206261267410058"/>
    <n v="170.125"/>
    <n v="69.828000000000003"/>
    <n v="580.29899999999998"/>
    <n v="2020.0170000000001"/>
    <n v="-203.38099999999963"/>
    <n v="336.66949999999997"/>
    <n v="-33.896833333333348"/>
    <n v="-9.1473051608394043E-2"/>
    <m/>
    <n v="35.909999999999997"/>
    <n v="203.31800000000001"/>
    <n v="21.337"/>
    <n v="0"/>
    <n v="260.565"/>
    <n v="3.0830000000000002"/>
    <n v="57.011000000000003"/>
    <n v="15.24"/>
    <n v="0"/>
    <n v="75.334000000000003"/>
    <n v="2.5939999999999999"/>
    <n v="47.515999999999998"/>
    <n v="2.9159999999999999"/>
    <n v="0"/>
    <n v="53.025999999999996"/>
    <n v="1030.7249999999999"/>
    <n v="171.78750000000002"/>
    <n v="1221"/>
    <n v="102"/>
    <n v="505"/>
    <n v="5018"/>
    <n v="6846"/>
    <n v="20887"/>
    <n v="687.03133333333335"/>
    <n v="4122.1880000000001"/>
    <n v="30.401815734750574"/>
    <n v="5.0669692891250957"/>
    <m/>
    <n v="1014"/>
    <n v="453"/>
    <n v="0"/>
    <n v="199.1899001146632"/>
    <n v="1357"/>
    <n v="0"/>
    <n v="596.69027473641938"/>
    <n v="0"/>
    <n v="350"/>
    <n v="350"/>
    <n v="499"/>
    <n v="0"/>
    <n v="219.41668908877912"/>
    <n v="12691"/>
    <n v="12691"/>
    <n v="0.4397128037851285"/>
    <n v="2379.2968639398614"/>
    <n v="22.398757950753932"/>
    <n v="3.7331263251256561"/>
    <m/>
    <n v="9225.2968639398605"/>
    <n v="922.52968639398614"/>
    <n v="0.13475455541834447"/>
    <n v="8.6847166745335223"/>
    <n v="1.4474527790889204"/>
    <n v="64.448408794581283"/>
    <n v="10.741401465763548"/>
    <n v="52.800573685504503"/>
    <n v="61.485290360038022"/>
    <n v="117.24898248008579"/>
    <n v="8.8000956142507523"/>
    <n v="10.247548393339672"/>
    <n v="19.541497080014302"/>
    <n v="4"/>
    <n v="5.2800573685504499"/>
    <n v="560.87145394558729"/>
    <n v="8.1926884888341697E-2"/>
    <m/>
    <n v="7014"/>
    <m/>
    <n v="266"/>
    <n v="53.413654618473892"/>
    <n v="4.9800000000000004"/>
    <n v="245"/>
    <n v="54.473512499999998"/>
    <n v="4.51"/>
    <n v="210"/>
    <n v="52.850905000000004"/>
    <n v="3.94"/>
    <n v="370.56309500000009"/>
    <n v="55.061927881526124"/>
    <n v="6.7299331726510081"/>
    <n v="934.4140000000001"/>
    <n v="215.8"/>
    <n v="4.33"/>
    <n v="1107.3071466500003"/>
    <n v="11.675528750000002"/>
    <n v="94.84"/>
    <n v="1147.7599360499999"/>
    <n v="11.898817499999998"/>
    <n v="96.46"/>
    <n v="1112.6589171750002"/>
    <n v="12.192186250000001"/>
    <n v="91.26"/>
    <n v="885.24500012500016"/>
    <n v="12.933467500000003"/>
    <n v="68.446068320425283"/>
    <n v="4252.9710000000005"/>
    <n v="48.7"/>
    <n v="87.33"/>
    <n v="149.57660367"/>
    <n v="4.8548070000000001"/>
    <n v="30.81"/>
    <n v="139.81986562500001"/>
    <n v="5.16703125"/>
    <n v="27.06"/>
    <n v="148.60789579999999"/>
    <n v="5.6312199999999999"/>
    <n v="26.39"/>
    <n v="111.75063490500003"/>
    <n v="5.84694175"/>
    <n v="19.112664309508475"/>
    <n v="549.755"/>
    <n v="21.5"/>
    <n v="25.57"/>
    <n v="93.17"/>
    <n v="4.37"/>
    <n v="9.56"/>
    <n v="5.21"/>
    <n v="4.6100000000000003"/>
    <x v="3"/>
    <n v="3.8"/>
    <n v="11.19"/>
    <n v="10.15"/>
    <n v="9.83"/>
    <n v="7.41"/>
    <n v="98.68"/>
    <n v="103.35"/>
    <n v="97.87"/>
    <n v="73.209999999999994"/>
  </r>
  <r>
    <x v="1"/>
    <s v="APA"/>
    <x v="8"/>
    <n v="160.614"/>
    <n v="45.137999999999998"/>
    <n v="19.684000000000001"/>
    <n v="91.590999999999994"/>
    <n v="549.54600000000005"/>
    <n v="293.15800000000002"/>
    <n v="63.353000000000002"/>
    <n v="3.036999999999999"/>
    <n v="115.24966666666668"/>
    <n v="691.49800000000005"/>
    <n v="206.84066666666666"/>
    <n v="1241.0440000000001"/>
    <n v="0.44280944108347486"/>
    <n v="0.29226670742758565"/>
    <n v="0.49282134707558606"/>
    <n v="0.21491194549682832"/>
    <n v="60.505000000000003"/>
    <n v="24.939"/>
    <n v="208.59399999999999"/>
    <n v="721.25800000000004"/>
    <n v="-1298.759"/>
    <n v="120.20966666666666"/>
    <n v="-216.45983333333331"/>
    <n v="-0.64294458908019092"/>
    <m/>
    <n v="-503.96899999999999"/>
    <n v="40.901000000000003"/>
    <n v="0"/>
    <n v="0"/>
    <n v="-463.06799999999998"/>
    <n v="-173.90700000000001"/>
    <n v="13.903"/>
    <n v="0"/>
    <n v="0"/>
    <n v="-160.00400000000002"/>
    <n v="-64.225999999999999"/>
    <n v="5.7679999999999998"/>
    <n v="0"/>
    <n v="0"/>
    <n v="-58.457999999999998"/>
    <n v="-1773.8400000000001"/>
    <n v="-295.64"/>
    <n v="313"/>
    <n v="1"/>
    <n v="194"/>
    <n v="1606"/>
    <n v="2114"/>
    <n v="14450"/>
    <n v="143.48000000000002"/>
    <n v="860.88000000000011"/>
    <n v="100.71090047393363"/>
    <n v="16.785150078988938"/>
    <m/>
    <n v="807"/>
    <n v="380"/>
    <n v="0"/>
    <n v="168.26758761172044"/>
    <n v="573"/>
    <n v="0"/>
    <n v="253.72980974083109"/>
    <n v="0"/>
    <n v="184"/>
    <n v="184"/>
    <n v="486"/>
    <n v="0"/>
    <n v="215.2053883665688"/>
    <n v="6383"/>
    <n v="6383"/>
    <n v="0.44280944108347486"/>
    <n v="1628.2027857191204"/>
    <n v="17.776886219378763"/>
    <n v="2.9628143698964604"/>
    <m/>
    <n v="3742.2027857191206"/>
    <n v="374.2202785719121"/>
    <n v="0.17701999932446175"/>
    <n v="4.0857756610574416"/>
    <n v="0.68096261017624016"/>
    <n v="23.080870391195642"/>
    <n v="3.8468117318659401"/>
    <n v="118.4877866933124"/>
    <n v="122.57356235436984"/>
    <n v="141.56865708450803"/>
    <n v="19.747964448885398"/>
    <n v="20.428927059061639"/>
    <n v="23.594776180751339"/>
    <n v="4"/>
    <n v="11.84877866933124"/>
    <n v="1085.2414871027177"/>
    <n v="0.51335926542228838"/>
    <m/>
    <n v="2611"/>
    <n v="8717"/>
    <n v="104.590872275"/>
    <n v="39.768392499999997"/>
    <n v="2.63"/>
    <n v="90.10038505"/>
    <n v="40.769404999999999"/>
    <n v="2.21"/>
    <n v="104.4141109875"/>
    <n v="40.628058750000001"/>
    <n v="2.57"/>
    <n v="146.90868392499996"/>
    <n v="39.434143749999983"/>
    <n v="3.7254183799794061"/>
    <n v="382.22799999999995"/>
    <n v="160.6"/>
    <n v="2.38"/>
    <n v="516.89132538750005"/>
    <n v="11.555808750000001"/>
    <n v="44.73"/>
    <n v="628.53274844999999"/>
    <n v="11.652442500000001"/>
    <n v="53.94"/>
    <n v="488.61834965000003"/>
    <n v="10.987595000000001"/>
    <n v="44.47"/>
    <n v="427.47857651250013"/>
    <n v="10.904153750000003"/>
    <n v="39.203278522416291"/>
    <n v="2061.5210000000002"/>
    <n v="45.1"/>
    <n v="45.71"/>
    <n v="47.398078750000003"/>
    <n v="4.3089162500000002"/>
    <n v="11"/>
    <n v="50.687900399999997"/>
    <n v="5.0136399999999997"/>
    <n v="10.11"/>
    <n v="41.117085749999994"/>
    <n v="5.0142787499999999"/>
    <n v="8.1999999999999993"/>
    <n v="52.280935100000015"/>
    <n v="5.3631650000000013"/>
    <n v="9.7481496653561841"/>
    <n v="191.48400000000001"/>
    <n v="19.7"/>
    <n v="9.7200000000000006"/>
    <n v="48.66"/>
    <n v="2.62"/>
    <n v="4.97"/>
    <n v="2.9"/>
    <n v="2.75"/>
    <x v="4"/>
    <n v="2.12"/>
    <n v="5.43"/>
    <n v="5.2"/>
    <n v="4.68"/>
    <n v="4.5999999999999996"/>
    <n v="48.49"/>
    <n v="57.85"/>
    <n v="46.64"/>
    <n v="41.94"/>
  </r>
  <r>
    <x v="1"/>
    <s v="APA"/>
    <x v="9"/>
    <n v="145.01900000000001"/>
    <n v="38"/>
    <n v="19.824000000000002"/>
    <n v="81.993833333333328"/>
    <n v="491.96300000000002"/>
    <n v="258.51400000000001"/>
    <n v="62.744"/>
    <n v="3.1179999999999986"/>
    <n v="108.94766666666666"/>
    <n v="653.68600000000004"/>
    <n v="190.94149999999999"/>
    <n v="1145.6490000000001"/>
    <n v="0.42941860901550122"/>
    <n v="0.29477623317200685"/>
    <n v="0.46344948705492084"/>
    <n v="0.24177427977307239"/>
    <n v="21.088000000000001"/>
    <n v="17.311"/>
    <n v="231.304"/>
    <n v="461.69799999999998"/>
    <n v="-259.56000000000006"/>
    <n v="76.949666666666673"/>
    <n v="-43.259999999999991"/>
    <n v="-0.35987122499854413"/>
    <m/>
    <n v="-215.37799999999999"/>
    <n v="219.63300000000001"/>
    <n v="7.0000000000000001E-3"/>
    <n v="0"/>
    <n v="4.2620000000000235"/>
    <n v="-58.881999999999998"/>
    <n v="9.6140000000000008"/>
    <n v="2.1000000000000001E-2"/>
    <n v="0"/>
    <n v="-49.247"/>
    <n v="6.8239999999999998"/>
    <n v="10.238"/>
    <n v="2E-3"/>
    <n v="0"/>
    <n v="17.063999999999997"/>
    <n v="-188.83599999999998"/>
    <n v="-31.472666666666665"/>
    <n v="110"/>
    <n v="0"/>
    <n v="278"/>
    <n v="450"/>
    <n v="838"/>
    <n v="9798"/>
    <n v="-155.32516666666663"/>
    <n v="-931.95100000000025"/>
    <n v="-63.08056968660371"/>
    <n v="-10.513428281100612"/>
    <m/>
    <n v="633"/>
    <n v="410"/>
    <n v="0"/>
    <n v="176.06162969635548"/>
    <n v="305"/>
    <n v="0"/>
    <n v="130.97267574972784"/>
    <n v="0"/>
    <n v="139"/>
    <n v="139"/>
    <n v="464"/>
    <n v="0"/>
    <n v="199.25023458319254"/>
    <n v="5208"/>
    <n v="5208"/>
    <n v="0.42941860901550116"/>
    <n v="1278.2845400292758"/>
    <n v="15.590008273336929"/>
    <n v="2.5983347122228211"/>
    <m/>
    <n v="2116.2845400292758"/>
    <n v="211.62845400292758"/>
    <n v="0.25253992124454366"/>
    <n v="2.5810289066811234"/>
    <n v="0.43017148444685388"/>
    <n v="10.220280793474307"/>
    <n v="1.7033801322457176"/>
    <n v="-47.490561413266782"/>
    <n v="-44.909532506585656"/>
    <n v="-37.270280619792473"/>
    <n v="-7.9150935688777917"/>
    <n v="-7.4849220844309379"/>
    <n v="-6.2117134366320741"/>
    <n v="4"/>
    <n v="-4.7490561413266779"/>
    <n v="-389.39331774258272"/>
    <n v="-0.46466983024174552"/>
    <m/>
    <n v="1969"/>
    <n v="8544"/>
    <n v="61.694640562499991"/>
    <n v="37.390691249999996"/>
    <n v="1.65"/>
    <n v="63.310545750000003"/>
    <n v="37.241497500000001"/>
    <n v="1.7"/>
    <n v="95.891423950000004"/>
    <n v="36.049407500000001"/>
    <n v="2.66"/>
    <n v="153.5954061875"/>
    <n v="34.318403749999987"/>
    <n v="4.4755987867734106"/>
    <n v="314.64999999999998"/>
    <n v="145"/>
    <n v="2.17"/>
    <n v="314.73242173750003"/>
    <n v="10.572133750000001"/>
    <n v="29.77"/>
    <n v="408.59787668750005"/>
    <n v="9.7401162499999998"/>
    <n v="41.95"/>
    <n v="375.09154463749996"/>
    <n v="8.9670462499999992"/>
    <n v="41.83"/>
    <n v="399.91815693749987"/>
    <n v="8.7207037500000002"/>
    <n v="45.85847294004224"/>
    <n v="1498.34"/>
    <n v="38"/>
    <n v="39.43"/>
    <n v="33.596151250000005"/>
    <n v="5.0826250000000002"/>
    <n v="6.61"/>
    <n v="49.444330799999996"/>
    <n v="5.0764199999999997"/>
    <n v="9.74"/>
    <n v="49.315556062500001"/>
    <n v="5.1423937500000001"/>
    <n v="9.59"/>
    <n v="51.387961887499998"/>
    <n v="4.4985612500000016"/>
    <n v="11.423199336787953"/>
    <n v="183.744"/>
    <n v="19.8"/>
    <n v="9.2799999999999994"/>
    <n v="43.2"/>
    <n v="2.52"/>
    <n v="5.04"/>
    <n v="1.99"/>
    <n v="2.15"/>
    <x v="1"/>
    <n v="3.04"/>
    <n v="4.0199999999999996"/>
    <n v="5"/>
    <n v="5.04"/>
    <n v="6.05"/>
    <n v="33.35"/>
    <n v="45.46"/>
    <n v="44.85"/>
    <n v="49.14"/>
  </r>
  <r>
    <x v="2"/>
    <s v="COG"/>
    <x v="0"/>
    <n v="80.474999999999994"/>
    <n v="0.83"/>
    <n v="0"/>
    <n v="14.2425"/>
    <n v="85.454999999999998"/>
    <n v="0"/>
    <n v="0"/>
    <n v="0"/>
    <n v="0"/>
    <n v="0"/>
    <n v="14.2425"/>
    <n v="85.454999999999998"/>
    <n v="1"/>
    <n v="0.94172371423556256"/>
    <n v="5.827628576443742E-2"/>
    <n v="0"/>
    <n v="2.302"/>
    <n v="0"/>
    <n v="426.01600000000002"/>
    <n v="439.82800000000003"/>
    <m/>
    <n v="73.304666666666677"/>
    <m/>
    <m/>
    <m/>
    <n v="2.6040000000000001"/>
    <n v="265.83"/>
    <n v="3.7010000000000001"/>
    <n v="0"/>
    <n v="272.13499999999999"/>
    <n v="0.77100000000000002"/>
    <n v="1.381"/>
    <n v="3.3000000000000002E-2"/>
    <n v="0"/>
    <n v="2.1850000000000001"/>
    <n v="0"/>
    <n v="0"/>
    <n v="0"/>
    <n v="0"/>
    <n v="0"/>
    <n v="285.245"/>
    <n v="47.540833333333332"/>
    <n v="22.186"/>
    <n v="3.9820000000000002"/>
    <n v="70.242000000000004"/>
    <n v="494.20400000000001"/>
    <n v="590.61400000000003"/>
    <m/>
    <m/>
    <m/>
    <m/>
    <m/>
    <m/>
    <m/>
    <m/>
    <m/>
    <m/>
    <m/>
    <m/>
    <m/>
    <m/>
    <m/>
    <m/>
    <m/>
    <m/>
    <m/>
    <n v="0"/>
    <n v="0"/>
    <m/>
    <m/>
    <m/>
    <m/>
    <m/>
    <m/>
    <m/>
    <m/>
    <m/>
    <m/>
    <m/>
    <m/>
    <m/>
    <m/>
    <m/>
    <m/>
    <m/>
    <m/>
    <n v="4"/>
    <m/>
    <m/>
    <m/>
    <m/>
    <m/>
    <m/>
    <m/>
    <m/>
    <m/>
    <m/>
    <m/>
    <m/>
    <m/>
    <m/>
    <m/>
    <m/>
    <m/>
    <m/>
    <m/>
    <m/>
    <m/>
    <m/>
    <m/>
    <m/>
    <m/>
    <m/>
    <m/>
    <m/>
    <m/>
    <m/>
    <m/>
    <m/>
    <m/>
    <m/>
    <m/>
    <m/>
    <m/>
    <m/>
    <m/>
    <m/>
    <m/>
    <m/>
    <m/>
    <m/>
    <m/>
    <m/>
    <m/>
    <m/>
    <m/>
    <m/>
    <m/>
    <n v="72.34"/>
    <n v="6.97"/>
    <n v="12.91"/>
    <m/>
    <m/>
    <x v="0"/>
    <m/>
    <m/>
    <m/>
    <m/>
    <m/>
    <m/>
    <m/>
    <m/>
    <m/>
  </r>
  <r>
    <x v="2"/>
    <s v="COG"/>
    <x v="1"/>
    <n v="90.424999999999997"/>
    <n v="0.79400000000000004"/>
    <n v="0"/>
    <n v="15.864833333333333"/>
    <n v="95.188999999999993"/>
    <n v="0"/>
    <n v="0"/>
    <n v="0"/>
    <n v="0"/>
    <n v="0"/>
    <n v="15.864833333333333"/>
    <n v="95.188999999999993"/>
    <n v="1"/>
    <n v="0.94995220035928529"/>
    <n v="5.0047799640714791E-2"/>
    <n v="0"/>
    <n v="2.613"/>
    <n v="0"/>
    <n v="577.83799999999997"/>
    <n v="593.51599999999996"/>
    <n v="153.68799999999993"/>
    <n v="98.919333333333327"/>
    <n v="25.61466666666665"/>
    <n v="0.34942750347863227"/>
    <m/>
    <n v="-47.744999999999997"/>
    <n v="297.089"/>
    <n v="167.262"/>
    <n v="0"/>
    <n v="416.60599999999999"/>
    <n v="-1.593"/>
    <n v="1.1339999999999999"/>
    <n v="1.268"/>
    <n v="0"/>
    <n v="0.80899999999999994"/>
    <n v="0"/>
    <n v="0"/>
    <n v="0"/>
    <n v="0"/>
    <n v="0"/>
    <n v="421.46"/>
    <n v="70.243333333333325"/>
    <n v="152.666"/>
    <n v="605.86"/>
    <n v="89.02"/>
    <n v="594.221"/>
    <n v="1441.7670000000001"/>
    <m/>
    <m/>
    <m/>
    <m/>
    <m/>
    <m/>
    <m/>
    <m/>
    <m/>
    <m/>
    <m/>
    <m/>
    <m/>
    <m/>
    <m/>
    <m/>
    <m/>
    <m/>
    <m/>
    <n v="0"/>
    <n v="0"/>
    <m/>
    <m/>
    <m/>
    <m/>
    <m/>
    <m/>
    <m/>
    <m/>
    <m/>
    <m/>
    <m/>
    <m/>
    <m/>
    <m/>
    <m/>
    <m/>
    <m/>
    <m/>
    <n v="4"/>
    <m/>
    <m/>
    <m/>
    <m/>
    <m/>
    <m/>
    <m/>
    <m/>
    <m/>
    <m/>
    <m/>
    <m/>
    <m/>
    <m/>
    <m/>
    <m/>
    <m/>
    <m/>
    <m/>
    <m/>
    <m/>
    <m/>
    <m/>
    <m/>
    <m/>
    <m/>
    <m/>
    <m/>
    <m/>
    <m/>
    <m/>
    <m/>
    <m/>
    <m/>
    <m/>
    <m/>
    <m/>
    <m/>
    <m/>
    <m/>
    <m/>
    <m/>
    <m/>
    <m/>
    <m/>
    <m/>
    <m/>
    <m/>
    <m/>
    <m/>
    <m/>
    <n v="99.67"/>
    <n v="8.86"/>
    <n v="15.2"/>
    <m/>
    <m/>
    <x v="0"/>
    <m/>
    <m/>
    <m/>
    <m/>
    <m/>
    <m/>
    <m/>
    <m/>
    <m/>
  </r>
  <r>
    <x v="2"/>
    <s v="COG"/>
    <x v="2"/>
    <n v="97.914000000000001"/>
    <n v="0.84399999999999997"/>
    <n v="0"/>
    <n v="17.163"/>
    <n v="102.97800000000001"/>
    <n v="0"/>
    <n v="0"/>
    <n v="0"/>
    <n v="0"/>
    <n v="0"/>
    <n v="17.163"/>
    <n v="102.97800000000001"/>
    <n v="1"/>
    <n v="0.95082444794033671"/>
    <n v="4.917555205966323E-2"/>
    <n v="0"/>
    <n v="1.7010000000000001"/>
    <n v="0"/>
    <n v="725"/>
    <n v="735.20600000000002"/>
    <n v="141.69000000000005"/>
    <n v="122.53433333333332"/>
    <n v="23.614999999999995"/>
    <n v="0.238729874173569"/>
    <m/>
    <n v="-193.767"/>
    <n v="459.61200000000002"/>
    <n v="9"/>
    <n v="0"/>
    <n v="274.84500000000003"/>
    <n v="-1.0620000000000001"/>
    <n v="0.54400000000000004"/>
    <n v="0"/>
    <n v="0"/>
    <n v="-0.51800000000000002"/>
    <n v="0"/>
    <n v="0"/>
    <n v="0"/>
    <n v="0"/>
    <n v="0"/>
    <n v="271.73700000000002"/>
    <n v="45.289500000000004"/>
    <n v="145.68100000000001"/>
    <n v="0.39400000000000002"/>
    <n v="68.195999999999998"/>
    <n v="379.14"/>
    <n v="593.41100000000006"/>
    <n v="2625.7920000000004"/>
    <n v="163.07366666666667"/>
    <n v="978.44200000000001"/>
    <n v="16.101876248157787"/>
    <n v="2.6836460413596313"/>
    <m/>
    <n v="107.794"/>
    <n v="0"/>
    <n v="68.373999999999995"/>
    <n v="68.373999999999995"/>
    <n v="0"/>
    <n v="27.08"/>
    <n v="27.08"/>
    <n v="0"/>
    <n v="44.649000000000001"/>
    <n v="44.649000000000001"/>
    <n v="0"/>
    <n v="53.241099999999996"/>
    <n v="53.241099999999996"/>
    <n v="743.54300000000001"/>
    <n v="743.54300000000001"/>
    <n v="1"/>
    <n v="301.13809999999995"/>
    <n v="17.545772883528517"/>
    <n v="2.9242954805880861"/>
    <m/>
    <n v="894.54909999999995"/>
    <n v="89.454909999999998"/>
    <n v="0.15074696963824397"/>
    <n v="5.2120788906368345"/>
    <n v="0.86867981510613912"/>
    <n v="34.575016022839833"/>
    <n v="5.7625026704733049"/>
    <n v="33.647649131686308"/>
    <n v="38.859728022323139"/>
    <n v="68.22266515452614"/>
    <n v="5.6079415219477173"/>
    <n v="6.4766213370538566"/>
    <n v="11.370444192421022"/>
    <n v="4"/>
    <n v="3.3647649131686306"/>
    <n v="57.749460204713209"/>
    <n v="9.7317812114560059E-2"/>
    <n v="4.1790000000000003"/>
    <m/>
    <m/>
    <m/>
    <m/>
    <m/>
    <m/>
    <m/>
    <m/>
    <m/>
    <m/>
    <m/>
    <m/>
    <m/>
    <m/>
    <m/>
    <m/>
    <m/>
    <m/>
    <m/>
    <m/>
    <m/>
    <m/>
    <m/>
    <m/>
    <m/>
    <m/>
    <m/>
    <m/>
    <m/>
    <m/>
    <m/>
    <m/>
    <m/>
    <m/>
    <m/>
    <m/>
    <m/>
    <m/>
    <m/>
    <m/>
    <m/>
    <m/>
    <m/>
    <m/>
    <m/>
    <m/>
    <m/>
    <n v="61.95"/>
    <n v="3.94"/>
    <n v="8.99"/>
    <m/>
    <m/>
    <x v="0"/>
    <m/>
    <m/>
    <m/>
    <m/>
    <m/>
    <m/>
    <m/>
    <m/>
    <m/>
  </r>
  <r>
    <x v="2"/>
    <s v="COG"/>
    <x v="3"/>
    <n v="125.474"/>
    <n v="0.85799999999999998"/>
    <n v="0"/>
    <n v="21.770333333333333"/>
    <n v="130.62200000000001"/>
    <n v="0"/>
    <n v="0"/>
    <n v="0"/>
    <n v="0"/>
    <n v="0"/>
    <n v="21.770333333333333"/>
    <n v="130.62200000000001"/>
    <n v="1"/>
    <n v="0.96058856854128705"/>
    <n v="3.9411431458712926E-2"/>
    <n v="0"/>
    <n v="2.3620000000000001"/>
    <n v="0"/>
    <n v="963"/>
    <n v="977.17200000000003"/>
    <n v="241.96600000000001"/>
    <n v="162.86199999999999"/>
    <n v="40.327666666666673"/>
    <n v="0.32911320092599905"/>
    <m/>
    <n v="139.01599999999999"/>
    <n v="632.98"/>
    <n v="0.59299999999999997"/>
    <n v="0"/>
    <n v="772.58899999999994"/>
    <n v="-0.379"/>
    <n v="2.944"/>
    <n v="4"/>
    <n v="0"/>
    <n v="6.5649999999999995"/>
    <n v="0"/>
    <n v="0"/>
    <n v="0"/>
    <n v="0"/>
    <n v="0"/>
    <n v="811.97899999999993"/>
    <n v="135.32983333333331"/>
    <n v="130.67500000000001"/>
    <n v="0.80100000000000005"/>
    <n v="66.367999999999995"/>
    <n v="630.51099999999997"/>
    <n v="828.35500000000002"/>
    <n v="2863.5330000000004"/>
    <n v="250.86266666666666"/>
    <n v="1505.1759999999999"/>
    <n v="11.414743525009701"/>
    <n v="1.9024572541682836"/>
    <m/>
    <n v="118.711"/>
    <n v="0"/>
    <n v="79.177000000000007"/>
    <n v="79.177000000000007"/>
    <n v="0"/>
    <n v="1.05"/>
    <n v="1.05"/>
    <n v="0"/>
    <n v="37.893999999999998"/>
    <n v="37.893999999999998"/>
    <n v="0"/>
    <n v="57.712600000000002"/>
    <n v="57.712600000000002"/>
    <n v="713.64599999999996"/>
    <n v="713.64599999999996"/>
    <n v="1"/>
    <n v="294.5446"/>
    <n v="13.529632068104913"/>
    <n v="2.2549386780174854"/>
    <m/>
    <n v="1122.8996"/>
    <n v="112.28996000000001"/>
    <n v="0.13555777414272865"/>
    <n v="5.1579348042443085"/>
    <n v="0.85965580070738468"/>
    <n v="38.04971597433817"/>
    <n v="6.3416193290563605"/>
    <n v="24.944375593114614"/>
    <n v="30.102310397358924"/>
    <n v="62.994091567452784"/>
    <n v="4.1573959321857687"/>
    <n v="5.0170517328931536"/>
    <n v="10.499015261242128"/>
    <n v="4"/>
    <n v="2.4944375593114616"/>
    <n v="54.304737145396956"/>
    <n v="6.555732402822094E-2"/>
    <n v="4.2850000000000001"/>
    <m/>
    <m/>
    <m/>
    <m/>
    <m/>
    <m/>
    <m/>
    <m/>
    <m/>
    <m/>
    <m/>
    <m/>
    <m/>
    <m/>
    <m/>
    <m/>
    <m/>
    <m/>
    <m/>
    <m/>
    <m/>
    <m/>
    <m/>
    <m/>
    <m/>
    <m/>
    <m/>
    <m/>
    <m/>
    <m/>
    <m/>
    <m/>
    <m/>
    <m/>
    <m/>
    <m/>
    <m/>
    <m/>
    <m/>
    <m/>
    <m/>
    <m/>
    <m/>
    <m/>
    <m/>
    <m/>
    <m/>
    <n v="79.48"/>
    <n v="4.37"/>
    <n v="11.83"/>
    <m/>
    <m/>
    <x v="0"/>
    <m/>
    <m/>
    <m/>
    <m/>
    <m/>
    <m/>
    <m/>
    <m/>
    <m/>
  </r>
  <r>
    <x v="2"/>
    <s v="COG"/>
    <x v="4"/>
    <n v="179"/>
    <n v="1.08"/>
    <n v="0"/>
    <n v="30.913333333333334"/>
    <n v="185.48"/>
    <n v="0"/>
    <n v="0"/>
    <n v="0"/>
    <n v="0"/>
    <n v="0"/>
    <n v="30.913333333333334"/>
    <n v="185.48"/>
    <n v="1"/>
    <n v="0.96506361871899937"/>
    <n v="3.4936381281000649E-2"/>
    <n v="0"/>
    <n v="9.548"/>
    <n v="0"/>
    <n v="1176"/>
    <n v="1233.288"/>
    <n v="256.11599999999999"/>
    <n v="205.548"/>
    <n v="42.686000000000007"/>
    <n v="0.26209920055015906"/>
    <s v="NGLs were 7.6% of proved crude &amp; NGL reserves; All reserves in US"/>
    <n v="22"/>
    <n v="629"/>
    <n v="0"/>
    <n v="0"/>
    <n v="651"/>
    <n v="-0.08"/>
    <n v="13.583"/>
    <n v="0"/>
    <n v="0"/>
    <n v="13.503"/>
    <n v="0"/>
    <n v="0"/>
    <n v="0"/>
    <n v="0"/>
    <n v="0"/>
    <n v="732.01800000000003"/>
    <n v="122.003"/>
    <n v="71.134"/>
    <n v="0"/>
    <n v="53.484000000000002"/>
    <n v="763.63499999999999"/>
    <n v="888.25299999999993"/>
    <n v="2310.0190000000002"/>
    <n v="302.6223333333333"/>
    <n v="1815.7339999999999"/>
    <n v="7.633339464921626"/>
    <n v="1.2722232441536041"/>
    <m/>
    <n v="180.73099999999999"/>
    <n v="0"/>
    <n v="104.667"/>
    <n v="104.667"/>
    <n v="0"/>
    <n v="65.352000000000004"/>
    <n v="65.352000000000004"/>
    <n v="0"/>
    <n v="27.576000000000001"/>
    <n v="27.576000000000001"/>
    <n v="0"/>
    <n v="53.671600000000005"/>
    <n v="53.671600000000005"/>
    <n v="796.51700000000005"/>
    <n v="796.51700000000005"/>
    <n v="1"/>
    <n v="431.99760000000003"/>
    <n v="13.974474875997412"/>
    <n v="2.329079145999569"/>
    <m/>
    <n v="1320.2505999999998"/>
    <n v="132.02506"/>
    <n v="0.14863452192111934"/>
    <n v="4.2708128100064693"/>
    <n v="0.71180213500107825"/>
    <n v="28.733653224067282"/>
    <n v="4.7889422040112137"/>
    <n v="21.607814340919038"/>
    <n v="25.878627150925507"/>
    <n v="50.341467564986317"/>
    <n v="3.6013023901531733"/>
    <n v="4.3131045251542517"/>
    <n v="8.3902445941643862"/>
    <n v="4"/>
    <n v="2.1607814340919038"/>
    <n v="66.796956732561057"/>
    <n v="7.5200372790816428E-2"/>
    <n v="5.3280000000000003"/>
    <m/>
    <m/>
    <m/>
    <m/>
    <m/>
    <m/>
    <m/>
    <m/>
    <m/>
    <m/>
    <m/>
    <m/>
    <m/>
    <m/>
    <m/>
    <m/>
    <m/>
    <m/>
    <m/>
    <m/>
    <m/>
    <m/>
    <m/>
    <m/>
    <m/>
    <m/>
    <m/>
    <m/>
    <m/>
    <m/>
    <m/>
    <m/>
    <m/>
    <m/>
    <m/>
    <m/>
    <m/>
    <m/>
    <m/>
    <m/>
    <m/>
    <m/>
    <m/>
    <m/>
    <m/>
    <m/>
    <m/>
    <n v="94.88"/>
    <n v="4"/>
    <n v="15.12"/>
    <m/>
    <m/>
    <x v="0"/>
    <m/>
    <m/>
    <m/>
    <m/>
    <m/>
    <m/>
    <m/>
    <m/>
    <m/>
  </r>
  <r>
    <x v="2"/>
    <s v="COG"/>
    <x v="5"/>
    <n v="253"/>
    <n v="2.407"/>
    <n v="0"/>
    <n v="44.573666666666668"/>
    <n v="267.44200000000001"/>
    <n v="0"/>
    <n v="0"/>
    <n v="0"/>
    <n v="0"/>
    <n v="0"/>
    <n v="44.573666666666668"/>
    <n v="267.44200000000001"/>
    <n v="1"/>
    <n v="0.94599950643504005"/>
    <n v="5.4000493564959881E-2"/>
    <n v="0"/>
    <n v="11.545999999999999"/>
    <n v="0"/>
    <n v="1480"/>
    <n v="1549.2760000000001"/>
    <n v="315.98800000000006"/>
    <n v="258.21266666666668"/>
    <n v="52.664666666666676"/>
    <n v="0.25621590415215267"/>
    <s v="NGLs were 8.7 %of proved crude &amp; NGL reserves; All reserves in US"/>
    <n v="207"/>
    <n v="869"/>
    <n v="0"/>
    <n v="0"/>
    <n v="1076"/>
    <n v="-3.101"/>
    <n v="9.6280000000000001"/>
    <n v="0"/>
    <n v="0"/>
    <n v="6.5270000000000001"/>
    <n v="0"/>
    <n v="0"/>
    <n v="0"/>
    <n v="0"/>
    <n v="0"/>
    <n v="1115.162"/>
    <n v="185.86033333333333"/>
    <n v="88.88"/>
    <n v="0"/>
    <n v="59.198"/>
    <n v="821.80600000000004"/>
    <n v="969.88400000000001"/>
    <n v="2686.4920000000002"/>
    <n v="443.19316666666668"/>
    <n v="2659.1589999999997"/>
    <n v="6.0616728822909804"/>
    <n v="1.0102788137151635"/>
    <m/>
    <n v="261.55200000000002"/>
    <n v="0"/>
    <n v="121.239"/>
    <n v="121.239"/>
    <n v="0"/>
    <n v="22.501000000000001"/>
    <n v="22.501000000000001"/>
    <n v="0"/>
    <n v="48.874000000000002"/>
    <n v="48.874000000000002"/>
    <n v="0"/>
    <n v="51.094100000000005"/>
    <n v="51.094100000000005"/>
    <n v="1162.067"/>
    <n v="1162.067"/>
    <n v="1"/>
    <n v="505.26010000000002"/>
    <n v="11.33539459022891"/>
    <n v="1.8892324317048184"/>
    <m/>
    <n v="1475.1441"/>
    <n v="147.51441"/>
    <n v="0.15209490000866083"/>
    <n v="3.3094519933293944"/>
    <n v="0.55157533222156574"/>
    <n v="21.759125343065037"/>
    <n v="3.6265208905108395"/>
    <n v="17.39706747251989"/>
    <n v="20.706519465849283"/>
    <n v="39.15619281558493"/>
    <n v="2.8995112454199816"/>
    <n v="3.4510865776415471"/>
    <n v="6.5260321359308211"/>
    <n v="4"/>
    <n v="1.7397067472519889"/>
    <n v="77.545108649761076"/>
    <n v="7.9952972365521111E-2"/>
    <n v="10.39"/>
    <m/>
    <m/>
    <n v="205.85999999999999"/>
    <n v="56.4"/>
    <n v="3.65"/>
    <n v="200.68800000000002"/>
    <n v="59.2"/>
    <n v="3.39"/>
    <n v="230.73600000000002"/>
    <n v="62.7"/>
    <n v="3.68"/>
    <n v="291.95999999999992"/>
    <n v="74.899999999999963"/>
    <n v="3.8979973297730317"/>
    <n v="929.24399999999991"/>
    <n v="253.2"/>
    <n v="3.67"/>
    <n v="49.981000000000002"/>
    <n v="0.51702699906899763"/>
    <n v="96.67"/>
    <n v="57.466000000000001"/>
    <n v="0.5600428808108372"/>
    <n v="102.61"/>
    <n v="57.87"/>
    <n v="0.57104795737122549"/>
    <n v="101.34"/>
    <n v="62.615999999999978"/>
    <n v="0.59421369250791634"/>
    <n v="105.37623213582508"/>
    <n v="227.93299999999999"/>
    <n v="2.2423315297589768"/>
    <n v="101.65"/>
    <m/>
    <m/>
    <m/>
    <m/>
    <m/>
    <m/>
    <m/>
    <m/>
    <m/>
    <m/>
    <m/>
    <m/>
    <m/>
    <m/>
    <m/>
    <n v="94.05"/>
    <n v="2.75"/>
    <n v="10.98"/>
    <n v="2.41"/>
    <n v="2.2799999999999998"/>
    <x v="1"/>
    <n v="3.4"/>
    <n v="13.14"/>
    <n v="10.75"/>
    <n v="9.9600000000000009"/>
    <n v="10.08"/>
    <n v="102.98"/>
    <n v="93.29"/>
    <n v="92.17"/>
    <n v="88.01"/>
  </r>
  <r>
    <x v="2"/>
    <s v="COG"/>
    <x v="6"/>
    <n v="394"/>
    <n v="3.2210000000000001"/>
    <n v="0"/>
    <n v="68.887666666666675"/>
    <n v="413.32600000000002"/>
    <n v="0"/>
    <n v="0"/>
    <n v="0"/>
    <n v="0"/>
    <n v="0"/>
    <n v="68.887666666666675"/>
    <n v="413.32600000000002"/>
    <n v="1"/>
    <n v="0.95324271882243072"/>
    <n v="4.6757281177569276E-2"/>
    <n v="0"/>
    <n v="12.885999999999999"/>
    <n v="0"/>
    <n v="2148"/>
    <n v="2225.3159999999998"/>
    <n v="676.03999999999974"/>
    <n v="370.88600000000002"/>
    <n v="112.67333333333335"/>
    <n v="0.43635866043235683"/>
    <s v="NGLs were 12.3% of proved crude &amp; NGL reserves; All reserves in US"/>
    <n v="435"/>
    <n v="1661"/>
    <n v="0"/>
    <n v="0"/>
    <n v="2096"/>
    <n v="-0.41899999999999998"/>
    <n v="10.683"/>
    <n v="0"/>
    <n v="0"/>
    <n v="10.263999999999999"/>
    <n v="0"/>
    <n v="0"/>
    <n v="0"/>
    <n v="0"/>
    <n v="0"/>
    <n v="2157.5839999999998"/>
    <n v="359.59733333333332"/>
    <n v="71.233999999999995"/>
    <n v="0"/>
    <n v="44.905999999999999"/>
    <n v="1069.9649999999999"/>
    <n v="1186.105"/>
    <n v="3044.2420000000002"/>
    <n v="667.46066666666661"/>
    <n v="4004.7640000000001"/>
    <n v="4.5609309312608692"/>
    <n v="0.76015515521014476"/>
    <m/>
    <n v="370.34199999999998"/>
    <n v="0"/>
    <n v="104.60599999999999"/>
    <n v="104.60599999999999"/>
    <n v="0"/>
    <n v="35.280999999999999"/>
    <n v="35.280999999999999"/>
    <n v="0"/>
    <n v="43.045000000000002"/>
    <n v="43.045000000000002"/>
    <n v="0"/>
    <n v="53.301100000000005"/>
    <n v="53.301100000000005"/>
    <n v="1696.6799999999998"/>
    <n v="1696.6799999999998"/>
    <n v="1"/>
    <n v="606.57510000000002"/>
    <n v="8.8052786420404221"/>
    <n v="1.4675464403400704"/>
    <m/>
    <n v="1792.6801"/>
    <n v="179.26801"/>
    <n v="0.15114008456249658"/>
    <n v="2.6023237347759394"/>
    <n v="0.43372062246265658"/>
    <n v="17.217958705718971"/>
    <n v="2.8696597842864953"/>
    <n v="13.36620957330129"/>
    <n v="15.96853330807723"/>
    <n v="30.584168279020261"/>
    <n v="2.2277015955502151"/>
    <n v="2.6614222180128717"/>
    <n v="5.0973613798367108"/>
    <n v="4"/>
    <n v="1.3366209573301291"/>
    <n v="92.07669896823883"/>
    <n v="7.7629467010288999E-2"/>
    <n v="0"/>
    <m/>
    <m/>
    <n v="293.94"/>
    <n v="85.2"/>
    <n v="3.45"/>
    <n v="368.24199999999996"/>
    <n v="90.7"/>
    <n v="4.0599999999999996"/>
    <n v="341.71199999999999"/>
    <n v="101.7"/>
    <n v="3.36"/>
    <n v="399.45800000000008"/>
    <n v="116.60000000000001"/>
    <n v="3.4258833619210982"/>
    <n v="1403.3520000000001"/>
    <n v="394.2"/>
    <n v="3.56"/>
    <n v="65.655000000000001"/>
    <n v="0.63111602422378166"/>
    <n v="104.03"/>
    <n v="70.225999999999999"/>
    <n v="0.692632409507841"/>
    <n v="101.39"/>
    <n v="84.209000000000003"/>
    <n v="0.81157478797224358"/>
    <n v="103.76"/>
    <n v="71.328000000000003"/>
    <n v="0.74629449806277082"/>
    <n v="95.576210443937384"/>
    <n v="291.41800000000001"/>
    <n v="2.8816177197666373"/>
    <n v="101.13"/>
    <m/>
    <m/>
    <m/>
    <m/>
    <m/>
    <m/>
    <m/>
    <m/>
    <m/>
    <m/>
    <m/>
    <m/>
    <m/>
    <m/>
    <m/>
    <n v="97.98"/>
    <n v="3.73"/>
    <n v="9.94"/>
    <n v="3.49"/>
    <n v="4.01"/>
    <x v="2"/>
    <n v="3.85"/>
    <n v="9.77"/>
    <n v="9.39"/>
    <n v="10.01"/>
    <n v="10.53"/>
    <n v="94.33"/>
    <n v="94.05"/>
    <n v="105.83"/>
    <n v="97.44"/>
  </r>
  <r>
    <x v="2"/>
    <s v="COG"/>
    <x v="7"/>
    <n v="508"/>
    <n v="3.9609999999999999"/>
    <n v="0"/>
    <n v="88.62766666666667"/>
    <n v="531.76599999999996"/>
    <n v="0"/>
    <n v="0"/>
    <n v="0"/>
    <n v="0"/>
    <n v="0"/>
    <n v="88.62766666666667"/>
    <n v="531.76599999999996"/>
    <n v="1"/>
    <n v="0.9553074096501093"/>
    <n v="4.4692590349890739E-2"/>
    <n v="0"/>
    <n v="25.914999999999999"/>
    <n v="0"/>
    <n v="2743"/>
    <n v="2898.49"/>
    <n v="673.17399999999998"/>
    <n v="483.08166666666671"/>
    <n v="112.19566666666668"/>
    <n v="0.30250714954640151"/>
    <m/>
    <n v="483"/>
    <n v="1807"/>
    <n v="7"/>
    <n v="0"/>
    <n v="2297"/>
    <n v="1.6879999999999999"/>
    <n v="17.222999999999999"/>
    <n v="11.778"/>
    <n v="0"/>
    <n v="30.689"/>
    <n v="0"/>
    <n v="0"/>
    <n v="0"/>
    <n v="0"/>
    <n v="0"/>
    <n v="2481.134"/>
    <n v="413.52233333333334"/>
    <n v="73.962000000000003"/>
    <n v="214.73699999999999"/>
    <n v="36.305999999999997"/>
    <n v="1446.7280000000001"/>
    <n v="1771.7330000000002"/>
    <n v="3927.7220000000002"/>
    <n v="958.98"/>
    <n v="5753.88"/>
    <n v="4.0957287951782106"/>
    <n v="0.68262146586303507"/>
    <s v="The net upward revision of 493.0 Bcfe was primarily due to (i) an upward performance revision of 492.1 Bcfe, primarily in the Dimock field in northeast Pennsylvania and (ii) an upward revision of 0.9 Bcfe associated with commodity pricing."/>
    <n v="494.85"/>
    <n v="0"/>
    <n v="82.59"/>
    <n v="82.59"/>
    <n v="0"/>
    <n v="77.028999999999996"/>
    <n v="77.028999999999996"/>
    <n v="0"/>
    <n v="47.012"/>
    <n v="47.012"/>
    <n v="0"/>
    <n v="63.305266666666668"/>
    <n v="63.305266666666668"/>
    <n v="1904.5140000000001"/>
    <n v="1904.5140000000001"/>
    <n v="1"/>
    <n v="764.78626666666673"/>
    <n v="8.6292045749446196"/>
    <n v="1.43820076249077"/>
    <m/>
    <n v="2536.5192666666671"/>
    <n v="253.65192666666672"/>
    <n v="0.14316599999360327"/>
    <n v="2.8619948624018843"/>
    <n v="0.47699914373364738"/>
    <n v="19.99074404907422"/>
    <n v="3.3317906748457036"/>
    <n v="12.72493337012283"/>
    <n v="15.586928232524714"/>
    <n v="32.71567741919705"/>
    <n v="2.1208222283538052"/>
    <n v="2.5978213720874526"/>
    <n v="5.4526129031995083"/>
    <n v="4"/>
    <n v="1.2724933370122831"/>
    <n v="112.77811530827896"/>
    <n v="6.3654125823856614E-2"/>
    <n v="10.557"/>
    <m/>
    <m/>
    <n v="433.09200000000004"/>
    <n v="115.8"/>
    <n v="3.74"/>
    <n v="437.62099999999998"/>
    <n v="121.9"/>
    <n v="3.59"/>
    <n v="348.42500000000001"/>
    <n v="126.7"/>
    <n v="2.75"/>
    <n v="370.90199999999987"/>
    <n v="143.59999999999997"/>
    <n v="2.5828830083565455"/>
    <n v="1590.04"/>
    <n v="508"/>
    <n v="3.13"/>
    <n v="59.143999999999998"/>
    <n v="0.60499181669394431"/>
    <n v="97.76"/>
    <n v="86.340999999999994"/>
    <n v="0.86897141706924308"/>
    <n v="99.36"/>
    <n v="82.563000000000002"/>
    <n v="0.87202154626108996"/>
    <n v="94.68"/>
    <n v="85.841000000000008"/>
    <n v="1.2420152199757228"/>
    <n v="69.114289921244207"/>
    <n v="313.88900000000001"/>
    <n v="3.5880000000000001"/>
    <n v="87.48"/>
    <m/>
    <m/>
    <m/>
    <m/>
    <m/>
    <m/>
    <m/>
    <m/>
    <m/>
    <m/>
    <m/>
    <m/>
    <m/>
    <m/>
    <m/>
    <n v="93.17"/>
    <n v="4.37"/>
    <n v="9.56"/>
    <n v="5.21"/>
    <n v="4.6100000000000003"/>
    <x v="3"/>
    <n v="3.8"/>
    <n v="11.19"/>
    <n v="10.15"/>
    <n v="9.83"/>
    <n v="7.41"/>
    <n v="98.68"/>
    <n v="103.35"/>
    <n v="97.87"/>
    <n v="73.209999999999994"/>
  </r>
  <r>
    <x v="2"/>
    <s v="COG"/>
    <x v="8"/>
    <n v="566"/>
    <n v="6.0960000000000001"/>
    <n v="0"/>
    <n v="100.42933333333333"/>
    <n v="602.57600000000002"/>
    <n v="0"/>
    <n v="0"/>
    <n v="0"/>
    <n v="0"/>
    <n v="0"/>
    <n v="100.42933333333333"/>
    <n v="602.57600000000002"/>
    <n v="1"/>
    <n v="0.93930060274554572"/>
    <n v="6.069939725445421E-2"/>
    <n v="0"/>
    <n v="30.143999999999998"/>
    <n v="0"/>
    <n v="3180"/>
    <n v="3360.864"/>
    <n v="462.37400000000025"/>
    <n v="560.14400000000001"/>
    <n v="77.062333333333299"/>
    <n v="0.15952237199369318"/>
    <m/>
    <n v="444"/>
    <n v="896"/>
    <n v="0"/>
    <n v="0"/>
    <n v="1340"/>
    <n v="-3.008"/>
    <n v="11.510999999999999"/>
    <n v="0.187"/>
    <n v="0"/>
    <n v="8.69"/>
    <n v="0"/>
    <n v="0"/>
    <n v="0"/>
    <n v="0"/>
    <n v="0"/>
    <n v="1392.14"/>
    <n v="232.02333333333334"/>
    <n v="20.097000000000001"/>
    <n v="16.312000000000001"/>
    <n v="34.003"/>
    <n v="723.45100000000002"/>
    <n v="793.86300000000006"/>
    <n v="3751.701"/>
    <n v="1005.143"/>
    <n v="6030.8580000000002"/>
    <n v="3.7325047281829549"/>
    <n v="0.62208412136382585"/>
    <m/>
    <n v="568.40200000000004"/>
    <n v="0"/>
    <n v="69.444000000000003"/>
    <n v="69.444000000000003"/>
    <n v="0"/>
    <n v="7.55"/>
    <n v="7.55"/>
    <n v="0"/>
    <n v="42.808999999999997"/>
    <n v="42.808999999999997"/>
    <n v="0"/>
    <n v="85.296600000000012"/>
    <n v="85.296600000000012"/>
    <n v="1273.2550000000001"/>
    <n v="1273.2550000000001"/>
    <n v="1"/>
    <n v="773.50160000000005"/>
    <n v="7.7019489657736129"/>
    <n v="1.2836581609622686"/>
    <m/>
    <n v="1567.3646000000001"/>
    <n v="156.73646000000002"/>
    <n v="0.19743514938975618"/>
    <n v="1.560664148588726"/>
    <n v="0.26011069143145432"/>
    <n v="7.9046925201136462"/>
    <n v="1.3174487533522743"/>
    <n v="11.434453693956568"/>
    <n v="12.995117842545294"/>
    <n v="19.339146214070215"/>
    <n v="1.9057422823260945"/>
    <n v="2.1658529737575489"/>
    <n v="3.2231910356783686"/>
    <n v="4"/>
    <n v="1.1434453693956568"/>
    <n v="114.83545615149288"/>
    <n v="0.14465399716511901"/>
    <n v="0"/>
    <m/>
    <n v="2025"/>
    <n v="360.81400000000002"/>
    <n v="161.80000000000001"/>
    <n v="2.23"/>
    <n v="224.70000000000002"/>
    <n v="128.4"/>
    <n v="1.75"/>
    <n v="223.44"/>
    <n v="133"/>
    <n v="1.68"/>
    <n v="216.08999999999997"/>
    <n v="142.79999999999995"/>
    <n v="1.5132352941176475"/>
    <n v="1025.0440000000001"/>
    <n v="566"/>
    <n v="1.81"/>
    <n v="62.574959999999997"/>
    <n v="1.4279999999999999"/>
    <n v="43.82"/>
    <n v="81.233000000000004"/>
    <n v="1.448"/>
    <n v="56.1"/>
    <n v="59.014000000000003"/>
    <n v="1.35"/>
    <n v="43.71"/>
    <n v="45.391920000000006"/>
    <n v="1.2030000000000007"/>
    <n v="37.732269326683273"/>
    <n v="248.21388000000002"/>
    <n v="5.4290000000000003"/>
    <n v="45.72"/>
    <m/>
    <m/>
    <m/>
    <m/>
    <m/>
    <m/>
    <m/>
    <m/>
    <m/>
    <m/>
    <m/>
    <m/>
    <m/>
    <m/>
    <m/>
    <n v="48.66"/>
    <n v="2.62"/>
    <n v="4.97"/>
    <n v="2.9"/>
    <n v="2.75"/>
    <x v="4"/>
    <n v="2.12"/>
    <n v="5.43"/>
    <n v="5.2"/>
    <n v="4.68"/>
    <n v="4.5999999999999996"/>
    <n v="48.49"/>
    <n v="57.85"/>
    <n v="46.64"/>
    <n v="41.94"/>
  </r>
  <r>
    <x v="2"/>
    <s v="COG"/>
    <x v="9"/>
    <n v="600"/>
    <n v="4.4539999999999997"/>
    <n v="0.627"/>
    <n v="105.08099999999999"/>
    <n v="630.48599999999999"/>
    <n v="0"/>
    <n v="0"/>
    <n v="0"/>
    <n v="0"/>
    <n v="0"/>
    <n v="105.08099999999999"/>
    <n v="630.48599999999999"/>
    <n v="1"/>
    <n v="0.951646824830369"/>
    <n v="4.2386349577944633E-2"/>
    <n v="5.9668255916864137E-3"/>
    <n v="28.73"/>
    <n v="0"/>
    <n v="2781"/>
    <n v="2953.38"/>
    <n v="-407.48399999999992"/>
    <n v="492.23"/>
    <n v="-67.913999999999987"/>
    <n v="-0.12124382301693848"/>
    <m/>
    <n v="405"/>
    <n v="650"/>
    <n v="0"/>
    <n v="0"/>
    <n v="1055"/>
    <n v="-5.867"/>
    <n v="5.54"/>
    <n v="0"/>
    <n v="0"/>
    <n v="-0.32699999999999996"/>
    <n v="0"/>
    <n v="0"/>
    <n v="0"/>
    <n v="0"/>
    <n v="0"/>
    <n v="1053.038"/>
    <n v="175.50633333333334"/>
    <n v="2.7029999999999998"/>
    <n v="0"/>
    <n v="27.64"/>
    <n v="359.50099999999998"/>
    <n v="389.84399999999999"/>
    <n v="2955.4400000000005"/>
    <n v="821.05200000000002"/>
    <n v="4926.3119999999999"/>
    <n v="3.5995771278798423"/>
    <n v="0.59992952131330712"/>
    <m/>
    <n v="537.23799999999994"/>
    <n v="0"/>
    <n v="87.242000000000004"/>
    <n v="87.242000000000004"/>
    <n v="0"/>
    <n v="0.68799999999999994"/>
    <n v="0.68799999999999994"/>
    <m/>
    <n v="29.222999999999999"/>
    <n v="29.222999999999999"/>
    <m/>
    <n v="55.5861011"/>
    <n v="55.5861011"/>
    <n v="1173.6959999999999"/>
    <n v="1173.6959999999999"/>
    <n v="1"/>
    <n v="709.97710109999991"/>
    <n v="6.7564745396408483"/>
    <n v="1.1260790899401414"/>
    <m/>
    <n v="1099.8211010999999"/>
    <n v="109.98211010999999"/>
    <n v="0.28211825784159816"/>
    <n v="1.0466412587432552"/>
    <n v="0.17444020979054253"/>
    <n v="3.7099380477917037"/>
    <n v="0.61832300796528394"/>
    <n v="10.35605166752069"/>
    <n v="11.402692926263946"/>
    <n v="14.065989715312394"/>
    <n v="1.7260086112534485"/>
    <n v="1.9004488210439909"/>
    <n v="2.3443316192187327"/>
    <n v="4"/>
    <n v="1.0356051667520689"/>
    <n v="108.82242652747415"/>
    <n v="0.27914352029907902"/>
    <n v="0"/>
    <m/>
    <n v="1528"/>
    <n v="228.119"/>
    <n v="153.1"/>
    <n v="1.49"/>
    <n v="223.66500000000002"/>
    <n v="144.30000000000001"/>
    <n v="1.55"/>
    <n v="259.92"/>
    <n v="144.4"/>
    <n v="1.8"/>
    <n v="310.88600000000002"/>
    <n v="158.59999999999994"/>
    <n v="1.9601891551071888"/>
    <n v="1022.59"/>
    <n v="600.4"/>
    <n v="1.7"/>
    <n v="30.691500000000001"/>
    <n v="1.1100000000000001"/>
    <n v="27.65"/>
    <n v="46.140889999999999"/>
    <n v="1.139"/>
    <n v="40.51"/>
    <n v="37.762329999999999"/>
    <n v="0.94099999999999995"/>
    <n v="40.130000000000003"/>
    <n v="36.511279999999992"/>
    <n v="1.2639999999999993"/>
    <n v="28.885506329113934"/>
    <n v="151.10599999999999"/>
    <n v="4.4539999999999997"/>
    <n v="33.925909295015714"/>
    <m/>
    <m/>
    <m/>
    <m/>
    <m/>
    <m/>
    <m/>
    <m/>
    <m/>
    <m/>
    <m/>
    <m/>
    <m/>
    <m/>
    <m/>
    <n v="43.2"/>
    <n v="2.52"/>
    <n v="5.04"/>
    <n v="1.99"/>
    <n v="2.15"/>
    <x v="1"/>
    <n v="3.04"/>
    <n v="4.0199999999999996"/>
    <n v="5"/>
    <n v="5.04"/>
    <n v="6.05"/>
    <n v="33.35"/>
    <n v="45.46"/>
    <n v="44.85"/>
    <n v="49.14"/>
  </r>
  <r>
    <x v="3"/>
    <s v="CHK"/>
    <x v="0"/>
    <n v="655"/>
    <n v="9.9"/>
    <n v="0"/>
    <n v="119.06666666666668"/>
    <n v="714.4"/>
    <n v="0"/>
    <n v="0"/>
    <n v="0"/>
    <n v="0"/>
    <n v="0"/>
    <n v="119.06666666666668"/>
    <n v="714.4"/>
    <n v="1"/>
    <n v="0.91685330347144456"/>
    <n v="8.3146696528555428E-2"/>
    <n v="0"/>
    <n v="34.72"/>
    <n v="0"/>
    <n v="3728.6770000000001"/>
    <n v="3936.9970000000003"/>
    <m/>
    <n v="656.16616666666675"/>
    <m/>
    <m/>
    <m/>
    <n v="1299"/>
    <n v="1053"/>
    <n v="329"/>
    <n v="0"/>
    <n v="2681"/>
    <n v="7.7"/>
    <n v="11.7"/>
    <n v="8.1"/>
    <n v="0"/>
    <n v="27.5"/>
    <n v="0"/>
    <n v="0"/>
    <n v="0"/>
    <n v="0"/>
    <n v="0"/>
    <n v="2846"/>
    <n v="474.33333333333331"/>
    <n v="2638"/>
    <n v="671"/>
    <n v="996"/>
    <n v="4402"/>
    <n v="8707"/>
    <m/>
    <m/>
    <m/>
    <m/>
    <m/>
    <s v="Costs &amp; Adds include oil; Sales excluded; Costs exclude asset retirement obligations"/>
    <m/>
    <m/>
    <m/>
    <m/>
    <m/>
    <m/>
    <m/>
    <m/>
    <m/>
    <m/>
    <m/>
    <m/>
    <m/>
    <n v="0"/>
    <n v="0"/>
    <m/>
    <m/>
    <m/>
    <m/>
    <m/>
    <m/>
    <m/>
    <m/>
    <m/>
    <m/>
    <m/>
    <m/>
    <m/>
    <m/>
    <m/>
    <m/>
    <m/>
    <m/>
    <n v="4"/>
    <m/>
    <m/>
    <m/>
    <m/>
    <m/>
    <m/>
    <m/>
    <m/>
    <m/>
    <m/>
    <m/>
    <m/>
    <m/>
    <m/>
    <m/>
    <m/>
    <m/>
    <m/>
    <m/>
    <m/>
    <m/>
    <m/>
    <m/>
    <m/>
    <m/>
    <m/>
    <m/>
    <m/>
    <m/>
    <m/>
    <m/>
    <m/>
    <m/>
    <m/>
    <m/>
    <m/>
    <m/>
    <m/>
    <m/>
    <m/>
    <m/>
    <m/>
    <m/>
    <m/>
    <m/>
    <m/>
    <m/>
    <m/>
    <m/>
    <m/>
    <m/>
    <n v="72.34"/>
    <n v="6.97"/>
    <n v="12.91"/>
    <m/>
    <m/>
    <x v="0"/>
    <m/>
    <m/>
    <m/>
    <m/>
    <m/>
    <m/>
    <m/>
    <m/>
    <m/>
  </r>
  <r>
    <x v="3"/>
    <s v="CHK"/>
    <x v="1"/>
    <n v="775"/>
    <n v="11.2"/>
    <n v="0"/>
    <n v="140.36666666666665"/>
    <n v="842.2"/>
    <n v="0"/>
    <n v="0"/>
    <n v="0"/>
    <n v="0"/>
    <n v="0"/>
    <n v="140.36666666666665"/>
    <n v="842.2"/>
    <n v="1"/>
    <n v="0.92020897649014477"/>
    <n v="7.9791023509855147E-2"/>
    <n v="0"/>
    <n v="35.719000000000001"/>
    <n v="0"/>
    <n v="3745.9319999999998"/>
    <n v="3960.2459999999996"/>
    <n v="23.248999999999342"/>
    <n v="660.04100000000005"/>
    <n v="3.8748333333332994"/>
    <n v="5.9052623103344488E-3"/>
    <m/>
    <n v="957"/>
    <n v="1526"/>
    <n v="156"/>
    <n v="0"/>
    <n v="2639"/>
    <n v="-1.2"/>
    <n v="11.5"/>
    <n v="2.5"/>
    <n v="0"/>
    <n v="12.8"/>
    <n v="0"/>
    <n v="0"/>
    <n v="0"/>
    <n v="0"/>
    <n v="0"/>
    <n v="2715.8"/>
    <n v="452.63333333333333"/>
    <n v="8263"/>
    <n v="355"/>
    <n v="926"/>
    <n v="5185"/>
    <n v="14729"/>
    <m/>
    <m/>
    <m/>
    <m/>
    <m/>
    <s v="Costs &amp; Adds include oil; Sales excluded; Costs exclude asset retirement obligations"/>
    <m/>
    <m/>
    <m/>
    <m/>
    <m/>
    <m/>
    <m/>
    <m/>
    <m/>
    <m/>
    <m/>
    <m/>
    <m/>
    <n v="0"/>
    <n v="0"/>
    <m/>
    <m/>
    <m/>
    <m/>
    <m/>
    <m/>
    <m/>
    <m/>
    <m/>
    <m/>
    <m/>
    <m/>
    <m/>
    <m/>
    <m/>
    <m/>
    <m/>
    <m/>
    <n v="4"/>
    <m/>
    <m/>
    <m/>
    <m/>
    <m/>
    <m/>
    <m/>
    <m/>
    <m/>
    <m/>
    <m/>
    <m/>
    <m/>
    <m/>
    <m/>
    <m/>
    <m/>
    <m/>
    <m/>
    <m/>
    <m/>
    <m/>
    <m/>
    <m/>
    <m/>
    <m/>
    <m/>
    <m/>
    <m/>
    <m/>
    <m/>
    <m/>
    <m/>
    <m/>
    <m/>
    <m/>
    <m/>
    <m/>
    <m/>
    <m/>
    <m/>
    <m/>
    <m/>
    <m/>
    <m/>
    <m/>
    <m/>
    <m/>
    <m/>
    <m/>
    <m/>
    <n v="99.67"/>
    <n v="8.86"/>
    <n v="15.2"/>
    <m/>
    <m/>
    <x v="0"/>
    <m/>
    <m/>
    <m/>
    <m/>
    <m/>
    <m/>
    <m/>
    <m/>
    <m/>
  </r>
  <r>
    <x v="3"/>
    <s v="CHK"/>
    <x v="2"/>
    <n v="835"/>
    <n v="11.8"/>
    <n v="0"/>
    <n v="150.96666666666667"/>
    <n v="905.8"/>
    <n v="0"/>
    <n v="0"/>
    <n v="0"/>
    <n v="0"/>
    <n v="0"/>
    <n v="150.96666666666667"/>
    <n v="905.8"/>
    <n v="1"/>
    <n v="0.92183705012143968"/>
    <n v="7.8162949878560387E-2"/>
    <n v="0"/>
    <n v="45.2"/>
    <n v="0"/>
    <n v="5651"/>
    <n v="5922.2"/>
    <n v="1961.9540000000002"/>
    <n v="987.03333333333342"/>
    <n v="326.99233333333336"/>
    <n v="0.49541215368944252"/>
    <m/>
    <n v="-1335"/>
    <n v="4530"/>
    <n v="32"/>
    <n v="0"/>
    <n v="3227"/>
    <n v="-10.3"/>
    <n v="27.1"/>
    <n v="0.2"/>
    <n v="0"/>
    <n v="17"/>
    <n v="0"/>
    <n v="0"/>
    <n v="0"/>
    <n v="0"/>
    <n v="0"/>
    <n v="3329"/>
    <n v="554.83333333333337"/>
    <n v="2793"/>
    <n v="61"/>
    <n v="813"/>
    <n v="2729"/>
    <n v="6396"/>
    <n v="29832"/>
    <n v="1481.8000000000002"/>
    <n v="8890.7999999999993"/>
    <n v="20.13227156161425"/>
    <n v="3.3553785936023757"/>
    <s v="Costs &amp; Adds include oil; Sales excluded; Costs exclude asset retirement obligations"/>
    <n v="1058"/>
    <n v="349"/>
    <n v="0"/>
    <n v="228.78486107504543"/>
    <n v="7"/>
    <n v="0"/>
    <n v="4.5888081017917424"/>
    <n v="0"/>
    <n v="107"/>
    <n v="107"/>
    <n v="825"/>
    <n v="0"/>
    <n v="540.82381199688393"/>
    <n v="5049"/>
    <n v="7702"/>
    <n v="0.65554401454167743"/>
    <n v="1939.1974811737211"/>
    <n v="12.845203010645095"/>
    <n v="2.1408671684408493"/>
    <s v="Net Operating loss"/>
    <n v="8335.1974811737218"/>
    <n v="833.51974811737227"/>
    <n v="0.13031890996206572"/>
    <n v="5.5212171436346145"/>
    <n v="0.92020285727243578"/>
    <n v="42.366968425701039"/>
    <n v="7.0611614042835065"/>
    <n v="32.977474572259347"/>
    <n v="38.498691715893962"/>
    <n v="75.344442997960385"/>
    <n v="5.496245762043225"/>
    <n v="6.4164486193156609"/>
    <n v="12.557407166326731"/>
    <n v="4"/>
    <n v="3.2977474572259347"/>
    <n v="497.84994112587526"/>
    <n v="7.7837701864583372E-2"/>
    <m/>
    <n v="10005"/>
    <m/>
    <m/>
    <m/>
    <m/>
    <m/>
    <m/>
    <m/>
    <m/>
    <m/>
    <m/>
    <m/>
    <m/>
    <m/>
    <m/>
    <m/>
    <m/>
    <m/>
    <m/>
    <m/>
    <m/>
    <m/>
    <m/>
    <m/>
    <m/>
    <m/>
    <m/>
    <m/>
    <m/>
    <m/>
    <m/>
    <m/>
    <m/>
    <m/>
    <m/>
    <m/>
    <m/>
    <m/>
    <m/>
    <m/>
    <m/>
    <m/>
    <m/>
    <m/>
    <m/>
    <m/>
    <m/>
    <n v="61.95"/>
    <n v="3.94"/>
    <n v="8.99"/>
    <m/>
    <m/>
    <x v="0"/>
    <m/>
    <m/>
    <m/>
    <m/>
    <m/>
    <m/>
    <m/>
    <m/>
    <m/>
  </r>
  <r>
    <x v="3"/>
    <s v="CHK"/>
    <x v="3"/>
    <n v="925"/>
    <n v="10.9"/>
    <n v="7.5"/>
    <n v="172.56666666666666"/>
    <n v="1035.4000000000001"/>
    <n v="0"/>
    <n v="0"/>
    <n v="0"/>
    <n v="0"/>
    <n v="0"/>
    <n v="172.56666666666666"/>
    <n v="1035.4000000000001"/>
    <n v="1"/>
    <n v="0.89337454124010041"/>
    <n v="6.3163994591462241E-2"/>
    <n v="4.3461464168437318E-2"/>
    <n v="65.900000000000006"/>
    <n v="59.3"/>
    <n v="7209"/>
    <n v="7960.2"/>
    <n v="2038"/>
    <n v="1326.7"/>
    <n v="339.66666666666663"/>
    <n v="0.3441288710276586"/>
    <m/>
    <n v="-445"/>
    <n v="4678"/>
    <n v="63"/>
    <n v="0"/>
    <n v="4296"/>
    <n v="-3.6"/>
    <n v="47.6"/>
    <n v="4.2"/>
    <n v="0"/>
    <n v="48.2"/>
    <n v="108.3"/>
    <n v="22.3"/>
    <n v="0.2"/>
    <n v="0"/>
    <n v="130.79999999999998"/>
    <n v="5370"/>
    <n v="895"/>
    <n v="6953"/>
    <n v="243"/>
    <n v="872"/>
    <n v="4741"/>
    <n v="12809"/>
    <n v="33934"/>
    <n v="1902.4666666666667"/>
    <n v="11414.8"/>
    <n v="17.836843396292533"/>
    <n v="2.9728072327154225"/>
    <s v="Costs &amp; Adds include oil; Sales excluded; Costs exclude asset retirement obligations"/>
    <n v="1101"/>
    <n v="453"/>
    <n v="0"/>
    <n v="273.12524023062139"/>
    <n v="-291"/>
    <n v="0"/>
    <n v="-175.45131326073027"/>
    <n v="0"/>
    <n v="157"/>
    <n v="157"/>
    <n v="779"/>
    <n v="0"/>
    <n v="469.67894512064913"/>
    <n v="5647"/>
    <n v="9366"/>
    <n v="0.60292547512278449"/>
    <n v="1825.3528720905401"/>
    <n v="10.577667792682288"/>
    <n v="1.7629446321137145"/>
    <s v="Net Operating loss"/>
    <n v="14634.35287209054"/>
    <n v="1463.435287209054"/>
    <n v="0.11425054939566351"/>
    <n v="8.480405373048411"/>
    <n v="1.4134008955080681"/>
    <n v="74.226385937801822"/>
    <n v="12.371064322966967"/>
    <n v="28.414511188974821"/>
    <n v="36.894916562023234"/>
    <n v="102.64089712677665"/>
    <n v="4.7357518648291368"/>
    <n v="6.1491527603372047"/>
    <n v="17.106816187796106"/>
    <n v="4"/>
    <n v="2.8414511188974823"/>
    <n v="490.33974808440882"/>
    <n v="3.8280876577750707E-2"/>
    <m/>
    <n v="14469"/>
    <m/>
    <m/>
    <m/>
    <m/>
    <m/>
    <m/>
    <m/>
    <m/>
    <m/>
    <m/>
    <m/>
    <m/>
    <m/>
    <m/>
    <m/>
    <m/>
    <m/>
    <m/>
    <m/>
    <m/>
    <m/>
    <m/>
    <m/>
    <m/>
    <m/>
    <m/>
    <m/>
    <m/>
    <m/>
    <m/>
    <m/>
    <m/>
    <m/>
    <m/>
    <m/>
    <m/>
    <m/>
    <m/>
    <m/>
    <m/>
    <m/>
    <m/>
    <m/>
    <m/>
    <m/>
    <m/>
    <n v="79.48"/>
    <n v="4.37"/>
    <n v="11.83"/>
    <m/>
    <m/>
    <x v="0"/>
    <m/>
    <m/>
    <m/>
    <m/>
    <m/>
    <m/>
    <m/>
    <m/>
    <m/>
  </r>
  <r>
    <x v="3"/>
    <s v="CHK"/>
    <x v="4"/>
    <n v="1004"/>
    <n v="17"/>
    <n v="14.7"/>
    <n v="199.03333333333333"/>
    <n v="1194.2"/>
    <n v="0"/>
    <n v="0"/>
    <n v="0"/>
    <n v="0"/>
    <n v="0"/>
    <n v="199.03333333333333"/>
    <n v="1194.2"/>
    <n v="1"/>
    <n v="0.84073019594707754"/>
    <n v="8.5412828671914257E-2"/>
    <n v="7.3856975381008202E-2"/>
    <n v="167.6"/>
    <n v="123.3"/>
    <n v="6937"/>
    <n v="8682.4"/>
    <n v="722.19999999999982"/>
    <n v="1447.0666666666666"/>
    <n v="120.36666666666656"/>
    <n v="9.0726363659204459E-2"/>
    <m/>
    <n v="-361"/>
    <n v="4156"/>
    <n v="23"/>
    <n v="0"/>
    <n v="3818"/>
    <n v="-7.8"/>
    <n v="168.4"/>
    <n v="0.5"/>
    <n v="0"/>
    <n v="161.1"/>
    <n v="60.6"/>
    <n v="85.2"/>
    <n v="0.7"/>
    <n v="0"/>
    <n v="146.5"/>
    <n v="5663.6"/>
    <n v="943.93333333333339"/>
    <n v="4736"/>
    <n v="48"/>
    <n v="2261"/>
    <n v="4767"/>
    <n v="11812"/>
    <n v="31017"/>
    <n v="2393.7666666666669"/>
    <n v="14362.6"/>
    <n v="12.95740325567794"/>
    <n v="2.1595672092796567"/>
    <s v="Costs &amp; Adds include oil; Sales excluded; Costs exclude asset retirement obligations"/>
    <n v="1475"/>
    <n v="548"/>
    <n v="0"/>
    <n v="283.72599914052427"/>
    <n v="-25"/>
    <n v="0"/>
    <n v="-12.943704340352385"/>
    <n v="0"/>
    <n v="192"/>
    <n v="192"/>
    <n v="723"/>
    <n v="0"/>
    <n v="374.331929522991"/>
    <n v="6024"/>
    <n v="11635"/>
    <n v="0.51774817361409542"/>
    <n v="2312.1142243231629"/>
    <n v="11.616718594824132"/>
    <n v="1.9361197658040219"/>
    <s v="Net Operating losses carryforwards of 3.1 billion at 12/31/11 will expire 2019-2031"/>
    <n v="14124.114224323162"/>
    <n v="1412.4114224323164"/>
    <n v="0.11957428229193331"/>
    <n v="7.0963561669685973"/>
    <n v="1.1827260278280993"/>
    <n v="59.34684307486183"/>
    <n v="9.8911405124769711"/>
    <n v="24.574121850502074"/>
    <n v="31.670478017470671"/>
    <n v="83.920964925363904"/>
    <n v="4.0956869750836784"/>
    <n v="5.278413002911778"/>
    <n v="13.98682748756065"/>
    <n v="4"/>
    <n v="2.4574121850502073"/>
    <n v="489.10693856449291"/>
    <n v="4.1407631100956056E-2"/>
    <m/>
    <n v="16685"/>
    <m/>
    <m/>
    <m/>
    <m/>
    <m/>
    <m/>
    <m/>
    <m/>
    <m/>
    <m/>
    <m/>
    <m/>
    <m/>
    <m/>
    <m/>
    <m/>
    <m/>
    <m/>
    <m/>
    <m/>
    <m/>
    <m/>
    <m/>
    <m/>
    <m/>
    <m/>
    <m/>
    <m/>
    <m/>
    <m/>
    <m/>
    <m/>
    <m/>
    <m/>
    <m/>
    <m/>
    <m/>
    <m/>
    <m/>
    <m/>
    <m/>
    <m/>
    <m/>
    <m/>
    <m/>
    <m/>
    <n v="94.88"/>
    <n v="4"/>
    <n v="15.12"/>
    <m/>
    <m/>
    <x v="0"/>
    <m/>
    <m/>
    <m/>
    <m/>
    <m/>
    <m/>
    <m/>
    <m/>
    <m/>
  </r>
  <r>
    <x v="3"/>
    <s v="CHK"/>
    <x v="5"/>
    <n v="1129"/>
    <n v="31.3"/>
    <n v="17.600000000000001"/>
    <n v="237.06666666666666"/>
    <n v="1422.3999999999999"/>
    <n v="0"/>
    <n v="0"/>
    <n v="0"/>
    <n v="0"/>
    <n v="0"/>
    <n v="237.06666666666666"/>
    <n v="1422.3999999999999"/>
    <n v="1"/>
    <n v="0.79372890888638925"/>
    <n v="0.13203037120359956"/>
    <n v="7.4240719910011257E-2"/>
    <n v="332.6"/>
    <n v="165.2"/>
    <n v="3759"/>
    <n v="6745.8"/>
    <n v="-1936.5999999999995"/>
    <n v="1124.3"/>
    <n v="-322.76666666666665"/>
    <n v="-0.22304892656408365"/>
    <m/>
    <n v="-6080"/>
    <n v="3317"/>
    <n v="14"/>
    <n v="0"/>
    <n v="-2749"/>
    <n v="-67.5"/>
    <n v="374"/>
    <n v="4.2"/>
    <n v="0"/>
    <n v="310.7"/>
    <n v="-47.3"/>
    <n v="139.4"/>
    <n v="0.6"/>
    <n v="0"/>
    <n v="92.7"/>
    <n v="-328.60000000000014"/>
    <n v="-54.766666666666694"/>
    <n v="2981"/>
    <n v="332"/>
    <n v="2353"/>
    <n v="5725"/>
    <n v="11391"/>
    <n v="36012"/>
    <n v="1784.1666666666667"/>
    <n v="10705"/>
    <n v="20.18421298458664"/>
    <n v="3.3640354974311069"/>
    <s v="Costs &amp; Adds include oil; Sales excluded; Costs exclude asset retirement obligations"/>
    <n v="1769"/>
    <n v="535"/>
    <n v="0"/>
    <n v="272.71273140630075"/>
    <n v="44"/>
    <n v="0"/>
    <n v="22.428710620331277"/>
    <n v="0"/>
    <n v="188"/>
    <n v="188"/>
    <n v="802"/>
    <n v="0"/>
    <n v="408.81422539785643"/>
    <n v="6278"/>
    <n v="12316"/>
    <n v="0.50974342318934718"/>
    <n v="2660.9556674244886"/>
    <n v="11.224503658989688"/>
    <n v="1.8707506098316149"/>
    <m/>
    <n v="14051.955667424489"/>
    <n v="1405.195566742449"/>
    <n v="0.12336015861139926"/>
    <n v="5.9274278687111179"/>
    <n v="0.98790464478518647"/>
    <n v="48.049775028121488"/>
    <n v="8.0082958380202474"/>
    <n v="31.408716643576327"/>
    <n v="37.336144512287447"/>
    <n v="79.458491671697814"/>
    <n v="5.234786107262722"/>
    <n v="6.2226907520479084"/>
    <n v="13.24308194528297"/>
    <n v="4"/>
    <n v="3.1408716643576327"/>
    <n v="744.59597589704947"/>
    <n v="6.5367042041703932E-2"/>
    <m/>
    <n v="14755"/>
    <m/>
    <n v="489"/>
    <n v="208.08510638297872"/>
    <n v="2.35"/>
    <n v="354"/>
    <n v="188.29787234042556"/>
    <n v="1.88"/>
    <n v="505"/>
    <n v="256.34517766497464"/>
    <n v="1.97"/>
    <n v="653"/>
    <n v="313.93851027828788"/>
    <n v="2.0800251597714285"/>
    <n v="2001"/>
    <n v="966.66666666666674"/>
    <n v="2.0699999999999998"/>
    <n v="555.78"/>
    <n v="6"/>
    <n v="92.63"/>
    <n v="668.53399999999999"/>
    <n v="7.3"/>
    <n v="91.58"/>
    <n v="817.11"/>
    <n v="9"/>
    <n v="90.79"/>
    <n v="802.51599999999985"/>
    <n v="8.6999999999999993"/>
    <n v="92.243218390804586"/>
    <n v="2843.94"/>
    <n v="31"/>
    <n v="91.74"/>
    <n v="144.47999999999999"/>
    <n v="4.3"/>
    <n v="33.6"/>
    <n v="116.73"/>
    <n v="4.5"/>
    <n v="25.94"/>
    <n v="128.00199999999998"/>
    <n v="4.0999999999999996"/>
    <n v="31.22"/>
    <n v="139.44800000000001"/>
    <n v="5.1000000000000005"/>
    <n v="27.342745098039213"/>
    <n v="528.66"/>
    <n v="18"/>
    <n v="29.37"/>
    <n v="94.05"/>
    <n v="2.75"/>
    <n v="10.98"/>
    <n v="2.41"/>
    <n v="2.2799999999999998"/>
    <x v="1"/>
    <n v="3.4"/>
    <n v="13.14"/>
    <n v="10.75"/>
    <n v="9.9600000000000009"/>
    <n v="10.08"/>
    <n v="102.98"/>
    <n v="93.29"/>
    <n v="92.17"/>
    <n v="88.01"/>
  </r>
  <r>
    <x v="3"/>
    <s v="CHK"/>
    <x v="6"/>
    <n v="1095"/>
    <n v="41.1"/>
    <n v="20.9"/>
    <n v="244.5"/>
    <n v="1467"/>
    <n v="0"/>
    <n v="0"/>
    <n v="0"/>
    <n v="0"/>
    <n v="0"/>
    <n v="244.5"/>
    <n v="1467"/>
    <n v="1"/>
    <n v="0.74642126789366048"/>
    <n v="0.16809815950920245"/>
    <n v="8.5480572597137011E-2"/>
    <n v="222.5"/>
    <n v="121.9"/>
    <n v="3150"/>
    <n v="5216.3999999999996"/>
    <n v="-1529.4000000000005"/>
    <n v="869.4"/>
    <n v="-254.89999999999998"/>
    <n v="-0.22671884728275371"/>
    <m/>
    <n v="388"/>
    <n v="2160"/>
    <n v="5"/>
    <n v="0"/>
    <n v="2553"/>
    <n v="-61.1"/>
    <n v="96.3"/>
    <n v="0.6"/>
    <n v="0"/>
    <n v="35.799999999999997"/>
    <n v="-32.9"/>
    <n v="524"/>
    <n v="2"/>
    <n v="0"/>
    <n v="493.1"/>
    <n v="5726.4000000000005"/>
    <n v="954.40000000000009"/>
    <n v="997"/>
    <n v="22"/>
    <n v="699"/>
    <n v="4066"/>
    <n v="5784"/>
    <n v="28987"/>
    <n v="1843.5666666666668"/>
    <n v="11061.400000000001"/>
    <n v="15.72332616124541"/>
    <n v="2.6205543602075685"/>
    <s v="Costs &amp; Adds include oil; Sales excluded; Costs exclude asset retirement obligations"/>
    <n v="2733"/>
    <n v="457"/>
    <n v="0"/>
    <n v="206.608071278826"/>
    <n v="26"/>
    <n v="0"/>
    <n v="11.754507337526205"/>
    <n v="0"/>
    <n v="229"/>
    <n v="229"/>
    <n v="894"/>
    <n v="0"/>
    <n v="404.17421383647797"/>
    <n v="8626"/>
    <n v="19080"/>
    <n v="0.4520964360587002"/>
    <n v="3584.53679245283"/>
    <n v="14.660682177721187"/>
    <n v="2.4434470296201978"/>
    <m/>
    <n v="9368.5367924528291"/>
    <n v="936.85367924528293"/>
    <n v="0.1619733193715911"/>
    <n v="3.8317123895512593"/>
    <n v="0.63861873159187654"/>
    <n v="23.656441717791409"/>
    <n v="3.9427402862985685"/>
    <n v="30.384008338966595"/>
    <n v="34.215720728517852"/>
    <n v="54.040450056758004"/>
    <n v="5.0640013898277658"/>
    <n v="5.7026201214196419"/>
    <n v="9.0067416761263352"/>
    <n v="4"/>
    <n v="3.0384008338966595"/>
    <n v="742.88900388773322"/>
    <n v="0.12843862446191792"/>
    <m/>
    <n v="12013"/>
    <m/>
    <n v="303"/>
    <n v="142.25352112676057"/>
    <n v="2.13"/>
    <n v="1073"/>
    <n v="409.5419847328244"/>
    <n v="2.62"/>
    <n v="624"/>
    <n v="276.10619469026551"/>
    <n v="2.2599999999999998"/>
    <n v="387"/>
    <n v="242.50188689409572"/>
    <n v="1.5958638712325106"/>
    <n v="2387"/>
    <n v="1070.4035874439462"/>
    <n v="2.23"/>
    <n v="882.10500000000002"/>
    <n v="9.3000000000000007"/>
    <n v="94.85"/>
    <n v="985.005"/>
    <n v="10.5"/>
    <n v="93.81"/>
    <n v="1012.99"/>
    <n v="11"/>
    <n v="92.09"/>
    <n v="979.63999999999987"/>
    <n v="10.199999999999999"/>
    <n v="96.04313725490195"/>
    <n v="3859.7400000000002"/>
    <n v="41"/>
    <n v="94.14"/>
    <n v="138.42500000000001"/>
    <n v="4.9000000000000004"/>
    <n v="28.25"/>
    <n v="116.25599999999999"/>
    <n v="4.8"/>
    <n v="24.22"/>
    <n v="143.208"/>
    <n v="5.4"/>
    <n v="26.52"/>
    <n v="187.38100000000003"/>
    <n v="5.9"/>
    <n v="31.75949152542373"/>
    <n v="585.27"/>
    <n v="21"/>
    <n v="27.87"/>
    <n v="97.98"/>
    <n v="3.73"/>
    <n v="9.94"/>
    <n v="3.49"/>
    <n v="4.01"/>
    <x v="2"/>
    <n v="3.85"/>
    <n v="9.77"/>
    <n v="9.39"/>
    <n v="10.01"/>
    <n v="10.53"/>
    <n v="94.33"/>
    <n v="94.05"/>
    <n v="105.83"/>
    <n v="97.44"/>
  </r>
  <r>
    <x v="3"/>
    <s v="CHK"/>
    <x v="7"/>
    <n v="1095"/>
    <n v="42.3"/>
    <n v="33.1"/>
    <n v="257.90000000000003"/>
    <n v="1547.4"/>
    <n v="0"/>
    <n v="0"/>
    <n v="0"/>
    <n v="0"/>
    <n v="0"/>
    <n v="257.90000000000003"/>
    <n v="1547.4"/>
    <n v="1"/>
    <n v="0.70763861962000774"/>
    <n v="0.1640170608763086"/>
    <n v="0.12834431950368358"/>
    <n v="191.5"/>
    <n v="67.8"/>
    <n v="2077"/>
    <n v="3632.8"/>
    <n v="-1583.5999999999995"/>
    <n v="605.4666666666667"/>
    <n v="-263.93333333333328"/>
    <n v="-0.30358101372594121"/>
    <m/>
    <n v="-129"/>
    <n v="1567"/>
    <n v="36"/>
    <n v="0"/>
    <n v="1474"/>
    <n v="-51.1"/>
    <n v="108.6"/>
    <n v="5.0999999999999996"/>
    <n v="0"/>
    <n v="62.599999999999994"/>
    <n v="21.3"/>
    <n v="78.2"/>
    <n v="2.6"/>
    <n v="0"/>
    <n v="102.1"/>
    <n v="2462.1999999999998"/>
    <n v="410.36666666666667"/>
    <n v="1224"/>
    <n v="214"/>
    <n v="421"/>
    <n v="3561"/>
    <n v="5420"/>
    <n v="22595"/>
    <n v="1310"/>
    <n v="7860"/>
    <n v="17.248091603053435"/>
    <n v="2.8746819338422394"/>
    <m/>
    <n v="3382"/>
    <n v="322"/>
    <n v="0"/>
    <n v="144.17245405405404"/>
    <n v="10"/>
    <n v="0"/>
    <n v="4.4774054054054053"/>
    <n v="0"/>
    <n v="232"/>
    <n v="232"/>
    <n v="768"/>
    <n v="0"/>
    <n v="343.86473513513511"/>
    <n v="10354"/>
    <n v="23125"/>
    <n v="0.44774054054054052"/>
    <n v="4106.5145945945942"/>
    <n v="15.922894899552515"/>
    <n v="2.6538158165920862"/>
    <m/>
    <n v="9526.5145945945951"/>
    <n v="952.6514594594596"/>
    <n v="0.17576595192978958"/>
    <n v="3.6938792534294667"/>
    <n v="0.61564654223824455"/>
    <n v="21.015897634742146"/>
    <n v="3.5026496057903578"/>
    <n v="33.170986502605949"/>
    <n v="36.864865756035414"/>
    <n v="54.186884137348095"/>
    <n v="5.528497750434326"/>
    <n v="6.1441442926725705"/>
    <n v="9.0311473562246842"/>
    <n v="4"/>
    <n v="3.3170986502605948"/>
    <n v="855.47974190220748"/>
    <n v="0.15783759075686485"/>
    <m/>
    <n v="9788"/>
    <m/>
    <n v="850.2"/>
    <n v="260"/>
    <n v="3.27"/>
    <n v="664.68500000000006"/>
    <n v="271.3"/>
    <n v="2.4500000000000002"/>
    <n v="589.38"/>
    <n v="282"/>
    <n v="2.09"/>
    <n v="479.9349999999996"/>
    <n v="281.70000000000005"/>
    <n v="1.7037096201632926"/>
    <n v="2584.1999999999998"/>
    <n v="1095"/>
    <n v="2.36"/>
    <n v="842.29200000000003"/>
    <n v="9.9"/>
    <n v="85.08"/>
    <n v="877.86900000000014"/>
    <n v="10.3"/>
    <n v="85.23"/>
    <n v="924.42900000000009"/>
    <n v="10.9"/>
    <n v="84.81"/>
    <n v="927.09"/>
    <n v="10.9"/>
    <n v="85.054128440366966"/>
    <n v="3571.6800000000003"/>
    <n v="42"/>
    <n v="85.04"/>
    <n v="222.148"/>
    <n v="7.6"/>
    <n v="29.23"/>
    <n v="161.93100000000001"/>
    <n v="7.7"/>
    <n v="21.03"/>
    <n v="201.96"/>
    <n v="8.8000000000000007"/>
    <n v="22.95"/>
    <n v="435.31099999999992"/>
    <n v="8.9"/>
    <n v="48.911348314606734"/>
    <n v="1021.35"/>
    <n v="33"/>
    <n v="30.95"/>
    <n v="93.17"/>
    <n v="4.37"/>
    <n v="9.56"/>
    <n v="5.21"/>
    <n v="4.6100000000000003"/>
    <x v="3"/>
    <n v="3.8"/>
    <n v="11.19"/>
    <n v="10.15"/>
    <n v="9.83"/>
    <n v="7.41"/>
    <n v="98.68"/>
    <n v="103.35"/>
    <n v="97.87"/>
    <n v="73.209999999999994"/>
  </r>
  <r>
    <x v="3"/>
    <s v="CHK"/>
    <x v="8"/>
    <n v="1070"/>
    <n v="41.6"/>
    <n v="28"/>
    <n v="247.93333333333334"/>
    <n v="1487.6"/>
    <n v="0"/>
    <n v="0"/>
    <n v="0"/>
    <n v="0"/>
    <n v="0"/>
    <n v="247.93333333333334"/>
    <n v="1487.6"/>
    <n v="1"/>
    <n v="0.71927937617639159"/>
    <n v="0.1677870395267545"/>
    <n v="0.11293358429685399"/>
    <n v="98.1"/>
    <n v="25.5"/>
    <n v="712"/>
    <n v="1453.6"/>
    <n v="-2179.2000000000003"/>
    <n v="242.26666666666665"/>
    <n v="-363.20000000000005"/>
    <n v="-0.59986787051310286"/>
    <m/>
    <n v="-4191"/>
    <n v="805"/>
    <n v="0"/>
    <n v="0"/>
    <n v="-3386"/>
    <n v="-110"/>
    <n v="61.1"/>
    <n v="0"/>
    <n v="0"/>
    <n v="-48.9"/>
    <n v="-75.8"/>
    <n v="35.299999999999997"/>
    <n v="0"/>
    <n v="0"/>
    <n v="-40.5"/>
    <n v="-3922.4"/>
    <n v="-653.73333333333335"/>
    <n v="454"/>
    <n v="0"/>
    <n v="112"/>
    <n v="2546"/>
    <n v="3112"/>
    <n v="14316"/>
    <n v="711.03333333333353"/>
    <n v="4266.2000000000007"/>
    <n v="20.134077164689881"/>
    <n v="3.3556795274483142"/>
    <m/>
    <n v="3165"/>
    <n v="235"/>
    <n v="0"/>
    <n v="99.254544030084617"/>
    <n v="44"/>
    <n v="0"/>
    <n v="18.583829520526482"/>
    <n v="0"/>
    <n v="99"/>
    <n v="99"/>
    <n v="694"/>
    <n v="0"/>
    <n v="293.11767471012223"/>
    <n v="5391"/>
    <n v="12764"/>
    <n v="0.42235976183014728"/>
    <n v="3674.9560482607335"/>
    <n v="14.822355666553106"/>
    <n v="2.4703926110921843"/>
    <m/>
    <n v="6786.956048260734"/>
    <n v="678.69560482607346"/>
    <n v="0.21808984730914957"/>
    <n v="2.7374116892689169"/>
    <n v="0.45623528154481952"/>
    <n v="12.551761226136058"/>
    <n v="2.0919602043560097"/>
    <n v="34.956432831242985"/>
    <n v="37.693844520511902"/>
    <n v="47.508194057379043"/>
    <n v="5.8260721385404981"/>
    <n v="6.282307420085318"/>
    <n v="7.9180323428965078"/>
    <n v="4"/>
    <n v="3.4956432831242985"/>
    <n v="866.68649132928442"/>
    <n v="0.27849822986159523"/>
    <m/>
    <n v="6798"/>
    <m/>
    <n v="968.14600000000007"/>
    <n v="263.8"/>
    <n v="3.67"/>
    <n v="278.154"/>
    <n v="275.39999999999998"/>
    <n v="1.01"/>
    <n v="299.82"/>
    <n v="263"/>
    <n v="1.1399999999999999"/>
    <n v="1364.28"/>
    <n v="267.80000000000007"/>
    <n v="5.0943988050784155"/>
    <n v="2910.4"/>
    <n v="1070"/>
    <n v="2.72"/>
    <n v="721"/>
    <n v="11"/>
    <n v="65.73"/>
    <n v="776"/>
    <n v="10.8"/>
    <n v="67.91"/>
    <n v="658.14"/>
    <n v="10.5"/>
    <n v="62.68"/>
    <n v="655.07999999999993"/>
    <n v="9.6999999999999993"/>
    <n v="67.534020618556696"/>
    <n v="2810.22"/>
    <n v="42"/>
    <n v="66.91"/>
    <n v="74"/>
    <n v="6"/>
    <n v="6.99"/>
    <n v="86"/>
    <n v="7.2"/>
    <n v="1.9"/>
    <n v="-9.66"/>
    <n v="7"/>
    <n v="-1.38"/>
    <n v="243.34000000000003"/>
    <n v="7.8000000000000007"/>
    <n v="31.197435897435899"/>
    <n v="393.68"/>
    <n v="28"/>
    <n v="14.06"/>
    <n v="48.66"/>
    <n v="2.62"/>
    <n v="4.97"/>
    <n v="2.9"/>
    <n v="2.75"/>
    <x v="4"/>
    <n v="2.12"/>
    <n v="5.43"/>
    <n v="5.2"/>
    <n v="4.68"/>
    <n v="4.5999999999999996"/>
    <n v="48.49"/>
    <n v="57.85"/>
    <n v="46.64"/>
    <n v="41.94"/>
  </r>
  <r>
    <x v="3"/>
    <s v="CHK"/>
    <x v="9"/>
    <n v="1050"/>
    <n v="33.200000000000003"/>
    <n v="28.1"/>
    <n v="236.29999999999998"/>
    <n v="1417.8000000000002"/>
    <n v="0"/>
    <n v="0"/>
    <n v="0"/>
    <n v="0"/>
    <n v="0"/>
    <n v="236.29999999999998"/>
    <n v="1417.8000000000002"/>
    <n v="1"/>
    <n v="0.74058400338552677"/>
    <n v="0.1404993652137114"/>
    <n v="0.11891663140076175"/>
    <n v="198.7"/>
    <n v="92.2"/>
    <n v="1370"/>
    <n v="3115.3999999999996"/>
    <n v="1661.7999999999997"/>
    <n v="519.23333333333335"/>
    <n v="276.9666666666667"/>
    <n v="1.1432305998899286"/>
    <m/>
    <n v="598"/>
    <n v="1798"/>
    <n v="299"/>
    <n v="0"/>
    <n v="2695"/>
    <n v="-58.9"/>
    <n v="191.2"/>
    <n v="1"/>
    <n v="0"/>
    <n v="133.29999999999998"/>
    <n v="2.8"/>
    <n v="89"/>
    <n v="3.6"/>
    <n v="0"/>
    <n v="95.399999999999991"/>
    <n v="4067.2000000000003"/>
    <n v="677.86666666666667"/>
    <n v="403"/>
    <n v="403"/>
    <n v="52"/>
    <n v="1127"/>
    <n v="1985"/>
    <n v="10517"/>
    <n v="434.5"/>
    <n v="2607"/>
    <n v="24.204833141542004"/>
    <n v="4.0341388569236667"/>
    <m/>
    <n v="2565"/>
    <n v="240"/>
    <n v="0"/>
    <n v="100.24390243902438"/>
    <n v="-27"/>
    <n v="0"/>
    <n v="-11.277439024390244"/>
    <n v="0"/>
    <n v="74"/>
    <n v="74"/>
    <n v="669"/>
    <n v="0"/>
    <n v="279.42987804878049"/>
    <n v="3288"/>
    <n v="7872"/>
    <n v="0.41768292682926828"/>
    <n v="3007.3963414634145"/>
    <n v="12.727026413302644"/>
    <n v="2.1211710688837737"/>
    <m/>
    <n v="4992.3963414634145"/>
    <n v="499.23963414634147"/>
    <n v="0.25150611292007125"/>
    <n v="2.1127364965989908"/>
    <n v="0.35212274943316507"/>
    <n v="8.4003385526872627"/>
    <n v="1.4000564254478769"/>
    <n v="36.93185955484465"/>
    <n v="39.044596051443641"/>
    <n v="45.332198107531909"/>
    <n v="6.1553099258074404"/>
    <n v="6.5074326752406053"/>
    <n v="7.5553663512553175"/>
    <n v="4"/>
    <n v="3.693185955484465"/>
    <n v="872.69984128097906"/>
    <n v="0.43964727520452346"/>
    <m/>
    <n v="4802"/>
    <m/>
    <n v="632.49799999999993"/>
    <n v="276.2"/>
    <n v="2.29"/>
    <n v="529.92999999999995"/>
    <n v="269"/>
    <n v="1.97"/>
    <n v="570.83999999999992"/>
    <n v="268"/>
    <n v="2.13"/>
    <n v="574.53200000000038"/>
    <n v="235.79999999999995"/>
    <n v="2.4365224766751505"/>
    <n v="2307.8000000000002"/>
    <n v="1049"/>
    <n v="2.2000000000000002"/>
    <n v="328.42499999999995"/>
    <n v="8.6999999999999993"/>
    <n v="37.75"/>
    <n v="354.48"/>
    <n v="8"/>
    <n v="44.31"/>
    <n v="361.92"/>
    <n v="8"/>
    <n v="45.24"/>
    <n v="393.31499999999983"/>
    <n v="8.3000000000000007"/>
    <n v="47.387349397590334"/>
    <n v="1438.1399999999999"/>
    <n v="33"/>
    <n v="43.58"/>
    <n v="68.64"/>
    <n v="6"/>
    <n v="11.44"/>
    <n v="90.160000000000011"/>
    <n v="7"/>
    <n v="12.88"/>
    <n v="87.68"/>
    <n v="6.4"/>
    <n v="13.7"/>
    <n v="99.839999999999961"/>
    <n v="4.6000000000000014"/>
    <n v="21.704347826086941"/>
    <n v="346.32"/>
    <n v="24"/>
    <n v="14.43"/>
    <n v="43.2"/>
    <n v="2.52"/>
    <n v="5.04"/>
    <n v="1.99"/>
    <n v="2.15"/>
    <x v="1"/>
    <n v="3.04"/>
    <n v="4.0199999999999996"/>
    <n v="5"/>
    <n v="5.04"/>
    <n v="6.05"/>
    <n v="33.35"/>
    <n v="45.46"/>
    <n v="44.85"/>
    <n v="49.14"/>
  </r>
  <r>
    <x v="4"/>
    <s v="CXO"/>
    <x v="0"/>
    <n v="12.064"/>
    <n v="3.0139999999999998"/>
    <n v="0"/>
    <n v="5.0246666666666666"/>
    <n v="30.148"/>
    <n v="0"/>
    <n v="0"/>
    <n v="0"/>
    <n v="0"/>
    <n v="0"/>
    <n v="5.0246666666666666"/>
    <n v="30.148"/>
    <n v="1"/>
    <n v="0.40015921454159481"/>
    <n v="0.59984078545840513"/>
    <n v="0"/>
    <n v="25.744"/>
    <n v="0"/>
    <n v="96.965000000000003"/>
    <n v="251.429"/>
    <m/>
    <n v="41.904833333333329"/>
    <m/>
    <m/>
    <m/>
    <n v="-12.022"/>
    <n v="48.750999999999998"/>
    <n v="0.35399999999999998"/>
    <n v="0"/>
    <n v="37.082999999999998"/>
    <n v="-1.1910000000000001"/>
    <n v="13.14"/>
    <n v="0.105"/>
    <n v="0"/>
    <n v="12.054"/>
    <n v="0"/>
    <n v="0"/>
    <n v="0"/>
    <n v="0"/>
    <n v="0"/>
    <n v="109.407"/>
    <n v="18.234500000000001"/>
    <n v="7.2930000000000001"/>
    <n v="0"/>
    <n v="116.01900000000001"/>
    <n v="64.209000000000003"/>
    <n v="187.52100000000002"/>
    <m/>
    <m/>
    <m/>
    <m/>
    <m/>
    <m/>
    <m/>
    <m/>
    <m/>
    <m/>
    <m/>
    <m/>
    <m/>
    <m/>
    <m/>
    <m/>
    <m/>
    <m/>
    <m/>
    <n v="0"/>
    <n v="0"/>
    <m/>
    <m/>
    <m/>
    <m/>
    <m/>
    <m/>
    <m/>
    <m/>
    <m/>
    <m/>
    <m/>
    <m/>
    <m/>
    <m/>
    <m/>
    <m/>
    <m/>
    <m/>
    <m/>
    <m/>
    <m/>
    <m/>
    <m/>
    <m/>
    <m/>
    <m/>
    <m/>
    <m/>
    <m/>
    <m/>
    <m/>
    <m/>
    <m/>
    <m/>
    <m/>
    <m/>
    <m/>
    <m/>
    <m/>
    <m/>
    <m/>
    <m/>
    <m/>
    <m/>
    <m/>
    <m/>
    <m/>
    <m/>
    <m/>
    <m/>
    <m/>
    <m/>
    <m/>
    <m/>
    <m/>
    <m/>
    <m/>
    <m/>
    <m/>
    <m/>
    <m/>
    <m/>
    <m/>
    <m/>
    <m/>
    <m/>
    <m/>
    <m/>
    <m/>
    <m/>
    <n v="72.34"/>
    <n v="6.97"/>
    <n v="12.91"/>
    <m/>
    <m/>
    <x v="0"/>
    <m/>
    <m/>
    <m/>
    <m/>
    <m/>
    <m/>
    <m/>
    <m/>
    <m/>
  </r>
  <r>
    <x v="4"/>
    <s v="CXO"/>
    <x v="1"/>
    <n v="14.968"/>
    <n v="4.5860000000000003"/>
    <n v="0"/>
    <n v="7.0806666666666676"/>
    <n v="42.484000000000002"/>
    <n v="0"/>
    <n v="0"/>
    <n v="0"/>
    <n v="0"/>
    <n v="0"/>
    <n v="7.0806666666666676"/>
    <n v="42.484000000000002"/>
    <n v="1"/>
    <n v="0.35232087374070237"/>
    <n v="0.64767912625929758"/>
    <n v="0"/>
    <n v="39.624000000000002"/>
    <n v="0"/>
    <n v="126.824"/>
    <n v="364.56800000000004"/>
    <n v="113.13900000000004"/>
    <n v="60.76133333333334"/>
    <n v="18.856500000000011"/>
    <n v="0.44998389207291156"/>
    <m/>
    <n v="-34.323"/>
    <n v="73.38"/>
    <n v="56.021999999999998"/>
    <n v="0"/>
    <n v="95.078999999999994"/>
    <n v="-7.5209999999999999"/>
    <n v="24.193999999999999"/>
    <n v="20.837"/>
    <n v="0"/>
    <n v="37.51"/>
    <n v="0"/>
    <n v="0"/>
    <n v="0"/>
    <n v="0"/>
    <n v="0"/>
    <n v="320.13900000000001"/>
    <n v="53.356499999999997"/>
    <n v="240.29400000000001"/>
    <n v="590.65099999999995"/>
    <n v="159.61100000000002"/>
    <n v="179.965"/>
    <n v="1170.521"/>
    <m/>
    <m/>
    <m/>
    <m/>
    <m/>
    <m/>
    <m/>
    <m/>
    <m/>
    <m/>
    <m/>
    <m/>
    <m/>
    <m/>
    <m/>
    <m/>
    <m/>
    <m/>
    <m/>
    <n v="0"/>
    <n v="0"/>
    <m/>
    <m/>
    <m/>
    <m/>
    <m/>
    <m/>
    <m/>
    <m/>
    <m/>
    <m/>
    <m/>
    <m/>
    <m/>
    <m/>
    <m/>
    <m/>
    <m/>
    <m/>
    <m/>
    <m/>
    <m/>
    <m/>
    <m/>
    <m/>
    <m/>
    <m/>
    <m/>
    <m/>
    <m/>
    <m/>
    <m/>
    <m/>
    <m/>
    <m/>
    <m/>
    <m/>
    <m/>
    <m/>
    <m/>
    <m/>
    <m/>
    <m/>
    <m/>
    <m/>
    <m/>
    <m/>
    <m/>
    <m/>
    <m/>
    <m/>
    <m/>
    <m/>
    <m/>
    <m/>
    <m/>
    <m/>
    <m/>
    <m/>
    <m/>
    <m/>
    <m/>
    <m/>
    <m/>
    <m/>
    <m/>
    <m/>
    <m/>
    <m/>
    <m/>
    <m/>
    <n v="99.67"/>
    <n v="8.86"/>
    <n v="15.2"/>
    <m/>
    <m/>
    <x v="0"/>
    <m/>
    <m/>
    <m/>
    <m/>
    <m/>
    <m/>
    <m/>
    <m/>
    <m/>
  </r>
  <r>
    <x v="4"/>
    <s v="CXO"/>
    <x v="2"/>
    <n v="21.568000000000001"/>
    <n v="7.3360000000000003"/>
    <n v="0"/>
    <n v="10.930666666666667"/>
    <n v="65.584000000000003"/>
    <n v="0"/>
    <n v="0"/>
    <n v="0"/>
    <n v="0"/>
    <n v="0"/>
    <n v="10.930666666666667"/>
    <n v="65.584000000000003"/>
    <n v="1"/>
    <n v="0.32886069773115395"/>
    <n v="0.67113930226884611"/>
    <n v="0"/>
    <n v="75.44"/>
    <n v="0"/>
    <n v="194.13499999999999"/>
    <n v="646.77499999999998"/>
    <n v="282.20699999999994"/>
    <n v="107.79583333333332"/>
    <n v="47.03449999999998"/>
    <n v="0.77408604156151894"/>
    <m/>
    <n v="-14.4"/>
    <n v="109.15"/>
    <n v="38.095999999999997"/>
    <n v="0"/>
    <n v="132.846"/>
    <n v="1.421"/>
    <n v="47.75"/>
    <n v="13.916"/>
    <n v="0"/>
    <n v="63.087000000000003"/>
    <n v="0"/>
    <n v="0"/>
    <n v="0"/>
    <n v="0"/>
    <n v="0"/>
    <n v="511.36800000000005"/>
    <n v="85.228000000000009"/>
    <n v="74.691999999999993"/>
    <n v="205.32900000000001"/>
    <n v="133.65299999999999"/>
    <n v="260.30599999999998"/>
    <n v="673.98"/>
    <n v="2032.0219999999999"/>
    <n v="156.81900000000002"/>
    <n v="940.91399999999999"/>
    <n v="12.957753843603133"/>
    <n v="2.1596256406005225"/>
    <m/>
    <n v="56.048000000000002"/>
    <m/>
    <n v="53.162999999999997"/>
    <n v="53.162999999999997"/>
    <m/>
    <n v="7.2990000000000004"/>
    <n v="7.2990000000000004"/>
    <m/>
    <n v="41.619"/>
    <n v="41.619"/>
    <m/>
    <n v="14.862"/>
    <n v="14.862"/>
    <n v="510.767"/>
    <n v="510.767"/>
    <n v="1"/>
    <n v="172.99099999999999"/>
    <n v="15.826207611612586"/>
    <n v="2.6377012686020977"/>
    <m/>
    <n v="846.971"/>
    <n v="84.697100000000006"/>
    <n v="0.12566708210926142"/>
    <n v="7.7485758721639426"/>
    <n v="1.2914293120273237"/>
    <n v="61.659551110026833"/>
    <n v="10.276591851671139"/>
    <n v="28.783961455215717"/>
    <n v="36.532537327379657"/>
    <n v="90.443512565242543"/>
    <n v="4.7973269092026207"/>
    <n v="6.0887562212299446"/>
    <n v="15.073918760873759"/>
    <n v="4"/>
    <n v="2.8783961455215716"/>
    <n v="31.46278880131446"/>
    <n v="4.6682080775860502E-2"/>
    <n v="8.6679999999999993"/>
    <m/>
    <m/>
    <m/>
    <m/>
    <m/>
    <m/>
    <m/>
    <m/>
    <m/>
    <m/>
    <m/>
    <m/>
    <m/>
    <m/>
    <m/>
    <m/>
    <m/>
    <m/>
    <m/>
    <m/>
    <m/>
    <m/>
    <m/>
    <m/>
    <m/>
    <m/>
    <m/>
    <m/>
    <m/>
    <m/>
    <m/>
    <m/>
    <m/>
    <m/>
    <m/>
    <m/>
    <m/>
    <m/>
    <m/>
    <m/>
    <m/>
    <m/>
    <m/>
    <m/>
    <m/>
    <m/>
    <m/>
    <n v="61.95"/>
    <n v="3.94"/>
    <n v="8.99"/>
    <m/>
    <m/>
    <x v="0"/>
    <m/>
    <m/>
    <m/>
    <m/>
    <m/>
    <m/>
    <m/>
    <m/>
    <m/>
  </r>
  <r>
    <x v="4"/>
    <s v="CXO"/>
    <x v="3"/>
    <n v="31.405000000000001"/>
    <n v="10.33"/>
    <n v="0"/>
    <n v="15.564166666666667"/>
    <n v="93.385000000000005"/>
    <n v="0"/>
    <n v="0"/>
    <n v="0"/>
    <n v="0"/>
    <n v="0"/>
    <n v="15.564166666666667"/>
    <n v="93.385000000000005"/>
    <n v="1"/>
    <n v="0.33629597901161856"/>
    <n v="0.66370402098838144"/>
    <n v="0"/>
    <n v="95.983999999999995"/>
    <n v="0"/>
    <n v="257.68299999999999"/>
    <n v="833.58699999999999"/>
    <n v="186.81200000000001"/>
    <n v="138.93116666666666"/>
    <n v="31.135333333333335"/>
    <n v="0.28883614858335593"/>
    <m/>
    <n v="5.7249999999999996"/>
    <n v="110.923"/>
    <n v="188.422"/>
    <n v="0"/>
    <n v="305.07"/>
    <n v="-1.8420000000000001"/>
    <n v="41.151000000000003"/>
    <n v="43.363999999999997"/>
    <n v="0"/>
    <n v="82.673000000000002"/>
    <n v="0"/>
    <n v="0"/>
    <n v="0"/>
    <n v="0"/>
    <n v="0"/>
    <n v="801.10799999999995"/>
    <n v="133.518"/>
    <n v="475.68799999999999"/>
    <n v="1216.088"/>
    <n v="200.01300000000001"/>
    <n v="479.01100000000002"/>
    <n v="2370.7999999999997"/>
    <n v="4215.3009999999995"/>
    <n v="272.10249999999996"/>
    <n v="1632.615"/>
    <n v="15.491592322746024"/>
    <n v="2.5819320537910038"/>
    <m/>
    <n v="86.533999999999992"/>
    <m/>
    <n v="94.275000000000006"/>
    <n v="94.275000000000006"/>
    <m/>
    <n v="19.885000000000002"/>
    <n v="19.885000000000002"/>
    <m/>
    <n v="79.875"/>
    <n v="79.875"/>
    <m/>
    <n v="48.052"/>
    <n v="48.052"/>
    <n v="940.26700000000005"/>
    <n v="940.26700000000005"/>
    <n v="1"/>
    <n v="328.62099999999998"/>
    <n v="21.113947636129996"/>
    <n v="3.518991272688333"/>
    <m/>
    <n v="2699.4209999999998"/>
    <n v="269.94209999999998"/>
    <n v="0.11386118609751983"/>
    <n v="17.343819671253414"/>
    <n v="2.8906366118755686"/>
    <n v="152.3242490764041"/>
    <n v="25.387374846067353"/>
    <n v="36.605539958876022"/>
    <n v="53.949359630129436"/>
    <n v="188.92978903528012"/>
    <n v="6.1009233264793368"/>
    <n v="8.9915599383549054"/>
    <n v="31.488298172546688"/>
    <n v="4"/>
    <n v="3.6605539958876023"/>
    <n v="56.973472484327289"/>
    <n v="2.4031328026120843E-2"/>
    <n v="46.826000000000001"/>
    <m/>
    <m/>
    <m/>
    <m/>
    <m/>
    <m/>
    <m/>
    <m/>
    <m/>
    <m/>
    <m/>
    <m/>
    <m/>
    <m/>
    <m/>
    <m/>
    <m/>
    <m/>
    <m/>
    <m/>
    <m/>
    <m/>
    <m/>
    <m/>
    <m/>
    <m/>
    <m/>
    <m/>
    <m/>
    <m/>
    <m/>
    <m/>
    <m/>
    <m/>
    <m/>
    <m/>
    <m/>
    <m/>
    <m/>
    <m/>
    <m/>
    <m/>
    <m/>
    <m/>
    <m/>
    <m/>
    <m/>
    <n v="79.48"/>
    <n v="4.37"/>
    <n v="11.83"/>
    <m/>
    <m/>
    <x v="0"/>
    <m/>
    <m/>
    <m/>
    <m/>
    <m/>
    <m/>
    <m/>
    <m/>
    <m/>
  </r>
  <r>
    <x v="4"/>
    <s v="CXO"/>
    <x v="4"/>
    <n v="53.713999999999999"/>
    <n v="14.692"/>
    <n v="0"/>
    <n v="23.644333333333336"/>
    <n v="141.86599999999999"/>
    <n v="0"/>
    <n v="0"/>
    <n v="0"/>
    <n v="0"/>
    <n v="0"/>
    <n v="23.644333333333336"/>
    <n v="141.86599999999999"/>
    <n v="1"/>
    <n v="0.37862489955309941"/>
    <n v="0.62137510044690059"/>
    <n v="0"/>
    <n v="94.384"/>
    <n v="0"/>
    <n v="337.24900000000002"/>
    <n v="903.553"/>
    <n v="69.966000000000008"/>
    <n v="150.59216666666669"/>
    <n v="11.66100000000003"/>
    <n v="8.3933650596758572E-2"/>
    <m/>
    <n v="35.966999999999999"/>
    <n v="209.827"/>
    <n v="35.691000000000003"/>
    <n v="0"/>
    <n v="281.48500000000001"/>
    <n v="-9.9920000000000009"/>
    <n v="51.517000000000003"/>
    <n v="6.6310000000000002"/>
    <n v="0"/>
    <n v="48.156000000000006"/>
    <n v="0"/>
    <n v="0"/>
    <n v="0"/>
    <n v="0"/>
    <n v="0"/>
    <n v="570.42100000000005"/>
    <n v="95.070166666666665"/>
    <n v="361.32100000000003"/>
    <n v="163.65799999999999"/>
    <n v="560.495"/>
    <n v="732.65700000000004"/>
    <n v="1818.1310000000003"/>
    <n v="4862.9110000000001"/>
    <n v="313.81616666666667"/>
    <n v="1882.8970000000002"/>
    <n v="15.496049969807164"/>
    <n v="2.5826749949678605"/>
    <m/>
    <n v="146.88799999999998"/>
    <m/>
    <n v="98.525000000000006"/>
    <n v="98.525000000000006"/>
    <m/>
    <n v="22.768000000000001"/>
    <n v="22.768000000000001"/>
    <m/>
    <n v="131.041"/>
    <n v="131.041"/>
    <m/>
    <n v="77.921000000000006"/>
    <n v="77.921000000000006"/>
    <n v="1617.771"/>
    <n v="1617.771"/>
    <n v="1"/>
    <n v="477.14299999999997"/>
    <n v="20.180014943679243"/>
    <n v="3.3633358239465414"/>
    <m/>
    <n v="2295.2740000000003"/>
    <n v="229.52740000000006"/>
    <n v="0.12624359850857833"/>
    <n v="9.7075014450255885"/>
    <n v="1.6179169075042652"/>
    <n v="76.894999506576639"/>
    <n v="12.815833251096109"/>
    <n v="35.676064913486407"/>
    <n v="45.383566358511999"/>
    <n v="112.57106442006304"/>
    <n v="5.9460108189144023"/>
    <n v="7.5639277264186671"/>
    <n v="18.761844070010511"/>
    <n v="4"/>
    <n v="3.5676064913486405"/>
    <n v="84.353677083611046"/>
    <n v="4.6395819159131567E-2"/>
    <n v="107.767"/>
    <m/>
    <m/>
    <m/>
    <m/>
    <m/>
    <m/>
    <m/>
    <m/>
    <m/>
    <m/>
    <m/>
    <m/>
    <m/>
    <m/>
    <m/>
    <m/>
    <m/>
    <m/>
    <m/>
    <m/>
    <m/>
    <m/>
    <m/>
    <m/>
    <m/>
    <m/>
    <m/>
    <m/>
    <m/>
    <m/>
    <m/>
    <m/>
    <m/>
    <m/>
    <m/>
    <m/>
    <m/>
    <m/>
    <m/>
    <m/>
    <m/>
    <m/>
    <m/>
    <m/>
    <m/>
    <m/>
    <m/>
    <n v="94.88"/>
    <n v="4"/>
    <n v="15.12"/>
    <m/>
    <m/>
    <x v="0"/>
    <m/>
    <m/>
    <m/>
    <m/>
    <m/>
    <m/>
    <m/>
    <m/>
    <m/>
  </r>
  <r>
    <x v="4"/>
    <s v="CXO"/>
    <x v="5"/>
    <n v="70.590999999999994"/>
    <n v="18.003"/>
    <n v="0"/>
    <n v="29.768166666666666"/>
    <n v="178.60899999999998"/>
    <n v="0"/>
    <n v="0"/>
    <n v="0"/>
    <n v="0"/>
    <n v="0"/>
    <n v="29.768166666666666"/>
    <n v="178.60899999999998"/>
    <n v="1"/>
    <n v="0.39522644435610749"/>
    <n v="0.60477355564389257"/>
    <n v="0"/>
    <n v="112.572"/>
    <n v="0"/>
    <n v="376.66"/>
    <n v="1052.0920000000001"/>
    <n v="148.5390000000001"/>
    <n v="175.34866666666667"/>
    <n v="24.756499999999988"/>
    <n v="0.16439434100711292"/>
    <m/>
    <n v="-40.49"/>
    <n v="189.37100000000001"/>
    <n v="157.26400000000001"/>
    <n v="0"/>
    <n v="306.14499999999998"/>
    <n v="-15.945"/>
    <n v="60.357999999999997"/>
    <n v="30.268999999999998"/>
    <n v="0"/>
    <n v="74.681999999999988"/>
    <n v="0"/>
    <n v="0"/>
    <n v="0"/>
    <n v="0"/>
    <n v="0"/>
    <n v="754.23699999999985"/>
    <n v="125.70616666666666"/>
    <n v="441.04199999999997"/>
    <n v="857.83600000000001"/>
    <n v="778.56299999999999"/>
    <n v="725.67000000000007"/>
    <n v="2803.1109999999999"/>
    <n v="6992.0420000000004"/>
    <n v="354.29433333333333"/>
    <n v="2125.7659999999996"/>
    <n v="19.735122304148248"/>
    <n v="3.2891870506913752"/>
    <m/>
    <n v="192.94200000000001"/>
    <m/>
    <n v="133.79599999999999"/>
    <n v="133.79599999999999"/>
    <m/>
    <n v="19.673999999999999"/>
    <n v="19.673999999999999"/>
    <m/>
    <n v="150.80099999999999"/>
    <n v="150.80099999999999"/>
    <m/>
    <n v="158.715"/>
    <n v="158.715"/>
    <n v="1819.8140000000001"/>
    <n v="1819.8140000000001"/>
    <n v="1"/>
    <n v="655.92799999999988"/>
    <n v="22.034544731788429"/>
    <n v="3.6724241219647382"/>
    <m/>
    <n v="3459.0389999999998"/>
    <n v="345.90390000000002"/>
    <n v="0.12340000092754087"/>
    <n v="11.619926207525937"/>
    <n v="1.9366543679209898"/>
    <n v="94.164717343470926"/>
    <n v="15.694119557245157"/>
    <n v="41.769667035936678"/>
    <n v="53.389593243462613"/>
    <n v="135.93438437940762"/>
    <n v="6.961611172656113"/>
    <n v="8.8982655405771034"/>
    <n v="22.655730729901272"/>
    <n v="4"/>
    <n v="4.176966703593668"/>
    <n v="124.34064099369357"/>
    <n v="4.435808678061396E-2"/>
    <n v="118.806"/>
    <m/>
    <m/>
    <n v="90.126199999999997"/>
    <n v="15.539"/>
    <n v="5.8"/>
    <n v="68.411199999999994"/>
    <n v="14.872"/>
    <n v="4.5999999999999996"/>
    <n v="85.151999999999987"/>
    <n v="17.739999999999998"/>
    <n v="4.8"/>
    <n v="94.038510000000031"/>
    <n v="18.462"/>
    <n v="5.0936252843678922"/>
    <n v="337.72791000000001"/>
    <n v="66.613"/>
    <n v="5.07"/>
    <n v="351.75118000000003"/>
    <n v="3.9140000000000001"/>
    <n v="89.87"/>
    <n v="343.07144999999997"/>
    <n v="3.915"/>
    <n v="87.63"/>
    <n v="396.31592000000001"/>
    <n v="4.3120000000000003"/>
    <n v="91.91"/>
    <n v="414.20156000000037"/>
    <n v="4.7180000000000017"/>
    <n v="87.791767698177239"/>
    <n v="1505.3401100000003"/>
    <n v="16.859000000000002"/>
    <n v="89.29"/>
    <m/>
    <m/>
    <m/>
    <m/>
    <m/>
    <m/>
    <m/>
    <m/>
    <m/>
    <m/>
    <m/>
    <m/>
    <m/>
    <m/>
    <m/>
    <n v="94.05"/>
    <n v="2.75"/>
    <n v="10.98"/>
    <n v="2.41"/>
    <n v="2.2799999999999998"/>
    <x v="1"/>
    <n v="3.4"/>
    <n v="13.14"/>
    <n v="10.75"/>
    <n v="9.9600000000000009"/>
    <n v="10.08"/>
    <n v="102.98"/>
    <n v="93.29"/>
    <n v="92.17"/>
    <n v="88.01"/>
  </r>
  <r>
    <x v="4"/>
    <s v="CXO"/>
    <x v="6"/>
    <n v="75.054000000000002"/>
    <n v="21.126000000000001"/>
    <n v="0"/>
    <n v="33.635000000000005"/>
    <n v="201.81"/>
    <n v="0"/>
    <n v="0"/>
    <n v="0"/>
    <n v="0"/>
    <n v="0"/>
    <n v="33.635000000000005"/>
    <n v="201.81"/>
    <n v="1"/>
    <n v="0.37190426638917795"/>
    <n v="0.62809573361082205"/>
    <n v="0"/>
    <n v="127.86199999999999"/>
    <n v="0"/>
    <n v="430.82299999999998"/>
    <n v="1197.9949999999999"/>
    <n v="145.90299999999979"/>
    <n v="199.66583333333332"/>
    <n v="24.317166666666651"/>
    <n v="0.13867893682301538"/>
    <m/>
    <n v="2.3130000000000002"/>
    <n v="199.886"/>
    <n v="4.016"/>
    <n v="0"/>
    <n v="206.21499999999997"/>
    <n v="-17.914000000000001"/>
    <n v="72.025000000000006"/>
    <n v="0.88900000000000001"/>
    <n v="0"/>
    <n v="55.000000000000007"/>
    <n v="0"/>
    <n v="0"/>
    <n v="0"/>
    <n v="0"/>
    <n v="0"/>
    <n v="536.21500000000003"/>
    <n v="89.369166666666672"/>
    <n v="85.537999999999997"/>
    <n v="11.499000000000001"/>
    <n v="1027.1209999999999"/>
    <n v="728.96299999999997"/>
    <n v="1853.1209999999999"/>
    <n v="6474.3630000000003"/>
    <n v="310.14549999999997"/>
    <n v="1860.873"/>
    <n v="20.875244038685072"/>
    <n v="3.479207339780845"/>
    <m/>
    <n v="263.87199999999996"/>
    <m/>
    <n v="169.815"/>
    <n v="169.815"/>
    <m/>
    <n v="21.376000000000001"/>
    <n v="21.376000000000001"/>
    <m/>
    <n v="191.56400000000002"/>
    <n v="191.56400000000002"/>
    <m/>
    <n v="200.96100000000001"/>
    <n v="200.96100000000001"/>
    <n v="2319.9189999999999"/>
    <n v="2319.9189999999999"/>
    <n v="1"/>
    <n v="847.58799999999997"/>
    <n v="25.199583766909463"/>
    <n v="4.1999306278182447"/>
    <m/>
    <n v="2700.7089999999998"/>
    <n v="270.07089999999999"/>
    <n v="0.14573840564107796"/>
    <n v="8.0294603835290612"/>
    <n v="1.3382433972548435"/>
    <n v="55.095020068381139"/>
    <n v="9.1825033447301916"/>
    <n v="46.074827805594538"/>
    <n v="54.104288189123601"/>
    <n v="101.16984787397567"/>
    <n v="7.6791379675990896"/>
    <n v="9.0173813648539323"/>
    <n v="16.861641312329283"/>
    <n v="4"/>
    <n v="4.6074827805594536"/>
    <n v="154.97268332411724"/>
    <n v="8.3627935425758623E-2"/>
    <n v="144.50399999999999"/>
    <m/>
    <m/>
    <n v="78.845139999999986"/>
    <n v="17.797999999999998"/>
    <n v="4.43"/>
    <n v="96.425699999999992"/>
    <n v="18.614999999999998"/>
    <n v="5.18"/>
    <n v="104.43069"/>
    <n v="19.593"/>
    <n v="5.33"/>
    <n v="111.32980999999998"/>
    <n v="19.048000000000005"/>
    <n v="5.8446981310373767"/>
    <n v="391.03134"/>
    <n v="75.054000000000002"/>
    <n v="5.21"/>
    <n v="399.23625000000004"/>
    <n v="4.7670000000000003"/>
    <n v="83.75"/>
    <n v="467.95495999999997"/>
    <n v="5.1920000000000002"/>
    <n v="90.13"/>
    <n v="503.18512999999996"/>
    <n v="5.4169999999999998"/>
    <n v="92.89"/>
    <n v="526.52720000000033"/>
    <n v="5.7500000000000009"/>
    <n v="91.569947826087002"/>
    <n v="1896.9035400000002"/>
    <n v="21.126000000000001"/>
    <n v="89.79"/>
    <m/>
    <m/>
    <m/>
    <m/>
    <m/>
    <m/>
    <m/>
    <m/>
    <m/>
    <m/>
    <m/>
    <m/>
    <m/>
    <m/>
    <m/>
    <n v="97.98"/>
    <n v="3.73"/>
    <n v="9.94"/>
    <n v="3.49"/>
    <n v="4.01"/>
    <x v="2"/>
    <n v="3.85"/>
    <n v="9.77"/>
    <n v="9.39"/>
    <n v="10.01"/>
    <n v="10.53"/>
    <n v="94.33"/>
    <n v="94.05"/>
    <n v="105.83"/>
    <n v="97.44"/>
  </r>
  <r>
    <x v="4"/>
    <s v="CXO"/>
    <x v="7"/>
    <n v="87.335999999999999"/>
    <n v="26.318999999999999"/>
    <n v="0"/>
    <n v="40.875"/>
    <n v="245.25"/>
    <n v="0"/>
    <n v="0"/>
    <n v="0"/>
    <n v="0"/>
    <n v="0"/>
    <n v="40.875"/>
    <n v="245.25"/>
    <n v="1"/>
    <n v="0.35611009174311925"/>
    <n v="0.64388990825688075"/>
    <n v="0"/>
    <n v="158.90100000000001"/>
    <n v="0"/>
    <n v="608.44799999999998"/>
    <n v="1561.854"/>
    <n v="363.85900000000015"/>
    <n v="260.30900000000003"/>
    <n v="60.643166666666701"/>
    <n v="0.3037233043543589"/>
    <m/>
    <n v="95.811999999999998"/>
    <n v="400.32900000000001"/>
    <n v="18.97"/>
    <n v="0"/>
    <n v="515.11099999999999"/>
    <n v="-28.648"/>
    <n v="115.389"/>
    <n v="2.5430000000000001"/>
    <n v="0"/>
    <n v="89.284000000000006"/>
    <n v="0"/>
    <n v="0"/>
    <n v="0"/>
    <n v="0"/>
    <n v="0"/>
    <n v="1050.8150000000001"/>
    <n v="175.13583333333332"/>
    <n v="292.363"/>
    <n v="99.361999999999995"/>
    <n v="1612.6490000000001"/>
    <n v="930.00299999999993"/>
    <n v="2934.3770000000004"/>
    <n v="7590.6090000000004"/>
    <n v="390.21116666666666"/>
    <n v="2341.2669999999998"/>
    <n v="19.452567349217325"/>
    <n v="3.2420945582028882"/>
    <m/>
    <n v="329.25099999999998"/>
    <m/>
    <n v="204.161"/>
    <n v="204.161"/>
    <m/>
    <n v="27.844000000000001"/>
    <n v="27.844000000000001"/>
    <m/>
    <n v="209.12300000000002"/>
    <n v="209.12300000000002"/>
    <m/>
    <n v="211.34200000000001"/>
    <n v="211.34200000000001"/>
    <n v="2660.1469999999999"/>
    <n v="2660.1469999999999"/>
    <n v="1"/>
    <n v="981.721"/>
    <n v="24.017639143730886"/>
    <n v="4.0029398572884816"/>
    <m/>
    <n v="3916.0980000000004"/>
    <n v="391.60980000000006"/>
    <n v="0.13345585792146"/>
    <n v="9.5806678899082591"/>
    <n v="1.5967779816513763"/>
    <n v="71.789039755351695"/>
    <n v="11.964839959225282"/>
    <n v="43.470206492948208"/>
    <n v="53.050874382856463"/>
    <n v="115.2592462482999"/>
    <n v="7.2450344154913697"/>
    <n v="8.8418123971427462"/>
    <n v="19.209874374716652"/>
    <n v="4"/>
    <n v="4.3470206492948211"/>
    <n v="177.6844690399258"/>
    <n v="6.0552706431356906E-2"/>
    <n v="241.65700000000001"/>
    <m/>
    <m/>
    <n v="116.02800000000001"/>
    <n v="19.8"/>
    <n v="5.86"/>
    <n v="122.4645"/>
    <n v="21.484999999999999"/>
    <n v="5.7"/>
    <n v="125.17228"/>
    <n v="22.513000000000002"/>
    <n v="5.56"/>
    <n v="102.70945999999998"/>
    <n v="23.538"/>
    <n v="4.3635593508369439"/>
    <n v="466.37423999999999"/>
    <n v="87.335999999999999"/>
    <n v="5.34"/>
    <n v="530.1152800000001"/>
    <n v="5.8460000000000001"/>
    <n v="90.68"/>
    <n v="556.18741"/>
    <n v="6.2290000000000001"/>
    <n v="89.29"/>
    <n v="589.90291000000002"/>
    <n v="6.6890000000000001"/>
    <n v="88.19"/>
    <n v="589.07072999999957"/>
    <n v="7.5549999999999997"/>
    <n v="77.970976836532046"/>
    <n v="2265.2763299999997"/>
    <n v="26.318999999999999"/>
    <n v="86.07"/>
    <m/>
    <m/>
    <m/>
    <m/>
    <m/>
    <m/>
    <m/>
    <m/>
    <m/>
    <m/>
    <m/>
    <m/>
    <m/>
    <m/>
    <m/>
    <n v="93.17"/>
    <n v="4.37"/>
    <n v="9.56"/>
    <n v="5.21"/>
    <n v="4.6100000000000003"/>
    <x v="3"/>
    <n v="3.8"/>
    <n v="11.19"/>
    <n v="10.15"/>
    <n v="9.83"/>
    <n v="7.41"/>
    <n v="98.68"/>
    <n v="103.35"/>
    <n v="97.87"/>
    <n v="73.209999999999994"/>
  </r>
  <r>
    <x v="4"/>
    <s v="CXO"/>
    <x v="8"/>
    <n v="106.98699999999999"/>
    <n v="34.457000000000001"/>
    <n v="0"/>
    <n v="52.288166666666669"/>
    <n v="313.72900000000004"/>
    <n v="0"/>
    <n v="0"/>
    <n v="0"/>
    <n v="0"/>
    <n v="0"/>
    <n v="52.288166666666669"/>
    <n v="313.72900000000004"/>
    <n v="1"/>
    <n v="0.34101724736954497"/>
    <n v="0.65898275263045492"/>
    <n v="0"/>
    <n v="163.904"/>
    <n v="0"/>
    <n v="607.43399999999997"/>
    <n v="1590.8579999999999"/>
    <n v="29.003999999999905"/>
    <n v="265.14299999999997"/>
    <n v="4.8339999999999463"/>
    <n v="1.8570237679065824E-2"/>
    <m/>
    <n v="-344.26799999999997"/>
    <n v="359.161"/>
    <n v="27.722000000000001"/>
    <n v="0"/>
    <n v="42.61500000000003"/>
    <n v="-71.453000000000003"/>
    <n v="97.207999999999998"/>
    <n v="7.0830000000000002"/>
    <n v="0"/>
    <n v="32.837999999999994"/>
    <n v="0"/>
    <n v="0"/>
    <n v="0"/>
    <n v="0"/>
    <n v="0"/>
    <n v="239.643"/>
    <n v="39.9405"/>
    <n v="206.214"/>
    <n v="57.19"/>
    <n v="1120.7670000000001"/>
    <n v="718.17199999999991"/>
    <n v="2102.3429999999998"/>
    <n v="6889.8410000000003"/>
    <n v="304.44549999999998"/>
    <n v="1826.6730000000002"/>
    <n v="22.630786134135668"/>
    <n v="3.7717976890226108"/>
    <m/>
    <n v="389.70400000000006"/>
    <m/>
    <n v="230.73400000000001"/>
    <n v="230.73400000000001"/>
    <m/>
    <n v="3.95"/>
    <n v="3.95"/>
    <m/>
    <n v="151.655"/>
    <n v="151.655"/>
    <m/>
    <n v="211.44300000000001"/>
    <n v="211.44300000000001"/>
    <n v="1803.5730000000001"/>
    <n v="1803.5730000000001"/>
    <n v="1"/>
    <n v="987.4860000000001"/>
    <n v="18.885458468933379"/>
    <n v="3.1475764114888962"/>
    <m/>
    <n v="3089.8289999999997"/>
    <n v="308.98289999999997"/>
    <n v="0.14697073693493401"/>
    <n v="5.9092318529686443"/>
    <n v="0.9848719754947739"/>
    <n v="40.206860060753066"/>
    <n v="6.7011433434588437"/>
    <n v="41.516244603069048"/>
    <n v="47.425476456037693"/>
    <n v="81.723104663822113"/>
    <n v="6.919374100511507"/>
    <n v="7.9042460760062809"/>
    <n v="13.62051744397035"/>
    <n v="4"/>
    <n v="4.1516244603069046"/>
    <n v="217.08083171793749"/>
    <n v="0.10325661974184874"/>
    <n v="116.19799999999999"/>
    <m/>
    <m/>
    <n v="70.793800000000005"/>
    <n v="22.984999999999999"/>
    <n v="3.08"/>
    <n v="75.695040000000006"/>
    <n v="26.283000000000001"/>
    <n v="2.88"/>
    <n v="79.913879999999992"/>
    <n v="28.745999999999999"/>
    <n v="2.78"/>
    <n v="73.160879999999949"/>
    <n v="28.972999999999995"/>
    <n v="2.5251399578918288"/>
    <n v="299.56359999999995"/>
    <n v="106.98699999999999"/>
    <n v="2.8"/>
    <n v="509.77120000000008"/>
    <n v="8.0660000000000007"/>
    <n v="63.2"/>
    <n v="574.01036000000011"/>
    <n v="9.0310000000000006"/>
    <n v="63.56"/>
    <n v="547.70235000000002"/>
    <n v="8.9450000000000003"/>
    <n v="61.23"/>
    <n v="505.88379999999978"/>
    <n v="8.4150000000000009"/>
    <n v="60.116910279263188"/>
    <n v="2137.36771"/>
    <n v="34.457000000000001"/>
    <n v="62.03"/>
    <m/>
    <m/>
    <m/>
    <m/>
    <m/>
    <m/>
    <m/>
    <m/>
    <m/>
    <m/>
    <m/>
    <m/>
    <m/>
    <m/>
    <m/>
    <n v="48.66"/>
    <n v="2.62"/>
    <n v="4.97"/>
    <n v="2.9"/>
    <n v="2.75"/>
    <x v="4"/>
    <n v="2.12"/>
    <n v="5.43"/>
    <n v="5.2"/>
    <n v="4.68"/>
    <n v="4.5999999999999996"/>
    <n v="48.49"/>
    <n v="57.85"/>
    <n v="46.64"/>
    <n v="41.94"/>
  </r>
  <r>
    <x v="4"/>
    <s v="CXO"/>
    <x v="9"/>
    <n v="127.48099999999999"/>
    <n v="33.840000000000003"/>
    <n v="0"/>
    <n v="55.086833333333331"/>
    <n v="330.52100000000002"/>
    <n v="0"/>
    <n v="0"/>
    <n v="0"/>
    <n v="0"/>
    <n v="0"/>
    <n v="55.086833333333331"/>
    <n v="330.52100000000002"/>
    <n v="1"/>
    <n v="0.38569712665761025"/>
    <n v="0.61430287334238987"/>
    <n v="0"/>
    <n v="160.83199999999999"/>
    <n v="0"/>
    <n v="561.26199999999994"/>
    <n v="1526.2539999999999"/>
    <n v="-64.604000000000042"/>
    <n v="254.37566666666663"/>
    <n v="-10.76733333333334"/>
    <n v="-4.0609532717565018E-2"/>
    <m/>
    <n v="4.3760000000000003"/>
    <n v="156.928"/>
    <n v="108.48399999999999"/>
    <n v="0"/>
    <n v="269.78800000000001"/>
    <n v="-24.721"/>
    <n v="83.617000000000004"/>
    <n v="40.991999999999997"/>
    <n v="0"/>
    <n v="99.888000000000005"/>
    <n v="0"/>
    <n v="0"/>
    <n v="0"/>
    <n v="0"/>
    <n v="0"/>
    <n v="869.11599999999999"/>
    <n v="144.85266666666666"/>
    <n v="1154.423"/>
    <n v="981.85500000000002"/>
    <n v="700.23299999999995"/>
    <n v="447.363"/>
    <n v="3283.8740000000003"/>
    <n v="8320.594000000001"/>
    <n v="359.92899999999997"/>
    <n v="2159.5740000000001"/>
    <n v="23.117320360404417"/>
    <n v="3.8528867267340692"/>
    <m/>
    <n v="319.85399999999993"/>
    <m/>
    <n v="225.565"/>
    <n v="225.565"/>
    <m/>
    <n v="0"/>
    <n v="0"/>
    <m/>
    <n v="131.45000000000002"/>
    <n v="131.45000000000002"/>
    <m/>
    <n v="232.173"/>
    <n v="232.173"/>
    <n v="1634.9880000000001"/>
    <n v="1634.9880000000001"/>
    <n v="1"/>
    <n v="909.04200000000003"/>
    <n v="16.501983232532883"/>
    <n v="2.7503305387554802"/>
    <m/>
    <n v="4192.9160000000002"/>
    <n v="419.29160000000002"/>
    <n v="0.12768199997929275"/>
    <n v="7.6114667449269495"/>
    <n v="1.2685777908211582"/>
    <n v="59.612684216736611"/>
    <n v="9.9354473694561012"/>
    <n v="39.6193035929373"/>
    <n v="47.23077033786425"/>
    <n v="99.23198780967391"/>
    <n v="6.6032172654895493"/>
    <n v="7.8717950563107077"/>
    <n v="16.538664634945651"/>
    <n v="5"/>
    <n v="3.9619303592937301"/>
    <n v="218.25019738068715"/>
    <n v="6.6461197165508523E-2"/>
    <n v="151.148"/>
    <m/>
    <m/>
    <n v="48.22475"/>
    <n v="27.556999999999999"/>
    <n v="1.75"/>
    <n v="64.824420000000003"/>
    <n v="30.434000000000001"/>
    <n v="2.13"/>
    <n v="83.876159999999985"/>
    <n v="34.095999999999997"/>
    <n v="2.46"/>
    <n v="103.92982999999997"/>
    <n v="35.393999999999998"/>
    <n v="2.9363685935469279"/>
    <n v="300.85515999999996"/>
    <n v="127.48099999999999"/>
    <n v="2.36"/>
    <n v="493.28999999999996"/>
    <n v="8.1"/>
    <n v="60.9"/>
    <n v="500.10002000000003"/>
    <n v="8.1370000000000005"/>
    <n v="61.46"/>
    <n v="501.89020999999991"/>
    <n v="8.3829999999999991"/>
    <n v="59.87"/>
    <n v="464.05577000000017"/>
    <n v="9.2200000000000042"/>
    <n v="50.331428416485892"/>
    <n v="1959.3360000000002"/>
    <n v="33.840000000000003"/>
    <n v="57.9"/>
    <m/>
    <m/>
    <m/>
    <m/>
    <m/>
    <m/>
    <m/>
    <m/>
    <m/>
    <m/>
    <m/>
    <m/>
    <m/>
    <m/>
    <m/>
    <n v="43.2"/>
    <n v="2.52"/>
    <n v="5.04"/>
    <n v="1.99"/>
    <n v="2.15"/>
    <x v="1"/>
    <n v="3.04"/>
    <n v="4.0199999999999996"/>
    <n v="5"/>
    <n v="5.04"/>
    <n v="6.05"/>
    <n v="33.35"/>
    <n v="45.46"/>
    <n v="44.85"/>
    <n v="49.14"/>
  </r>
  <r>
    <x v="5"/>
    <s v="COP"/>
    <x v="0"/>
    <n v="948"/>
    <n v="166"/>
    <n v="0"/>
    <n v="324"/>
    <n v="1944"/>
    <n v="1059"/>
    <n v="168"/>
    <n v="0"/>
    <n v="344.5"/>
    <n v="2067"/>
    <n v="668.5"/>
    <n v="4011"/>
    <n v="0.48466716529543757"/>
    <n v="0.48765432098765432"/>
    <n v="0.51234567901234573"/>
    <n v="0"/>
    <n v="247"/>
    <n v="0"/>
    <n v="1873"/>
    <n v="3355"/>
    <m/>
    <n v="559.16666666666674"/>
    <m/>
    <m/>
    <m/>
    <n v="566"/>
    <n v="544"/>
    <n v="30"/>
    <n v="6"/>
    <n v="1146"/>
    <n v="75"/>
    <n v="53"/>
    <n v="0"/>
    <n v="41"/>
    <n v="169"/>
    <n v="0"/>
    <n v="0"/>
    <n v="0"/>
    <n v="0"/>
    <n v="0"/>
    <n v="2160"/>
    <n v="360"/>
    <n v="207"/>
    <n v="42"/>
    <n v="583"/>
    <n v="2942"/>
    <n v="3774"/>
    <m/>
    <m/>
    <m/>
    <m/>
    <m/>
    <m/>
    <m/>
    <m/>
    <m/>
    <m/>
    <m/>
    <m/>
    <m/>
    <m/>
    <m/>
    <m/>
    <m/>
    <m/>
    <m/>
    <n v="0"/>
    <n v="0"/>
    <m/>
    <m/>
    <m/>
    <m/>
    <m/>
    <m/>
    <m/>
    <m/>
    <m/>
    <m/>
    <m/>
    <m/>
    <m/>
    <m/>
    <m/>
    <m/>
    <m/>
    <m/>
    <n v="4"/>
    <m/>
    <m/>
    <m/>
    <m/>
    <m/>
    <m/>
    <m/>
    <m/>
    <m/>
    <m/>
    <m/>
    <m/>
    <m/>
    <m/>
    <m/>
    <m/>
    <m/>
    <m/>
    <m/>
    <m/>
    <m/>
    <m/>
    <m/>
    <m/>
    <m/>
    <m/>
    <m/>
    <m/>
    <m/>
    <m/>
    <m/>
    <m/>
    <m/>
    <m/>
    <m/>
    <m/>
    <m/>
    <m/>
    <m/>
    <m/>
    <m/>
    <m/>
    <m/>
    <m/>
    <m/>
    <m/>
    <m/>
    <m/>
    <m/>
    <m/>
    <m/>
    <n v="72.34"/>
    <n v="6.97"/>
    <n v="12.91"/>
    <m/>
    <m/>
    <x v="0"/>
    <m/>
    <m/>
    <m/>
    <m/>
    <m/>
    <m/>
    <m/>
    <m/>
    <m/>
  </r>
  <r>
    <x v="5"/>
    <s v="COP"/>
    <x v="1"/>
    <n v="869"/>
    <n v="157"/>
    <n v="0"/>
    <n v="301.83333333333337"/>
    <n v="1811"/>
    <n v="1108"/>
    <n v="173"/>
    <n v="0"/>
    <n v="357.66666666666663"/>
    <n v="2146"/>
    <n v="659.5"/>
    <n v="3957"/>
    <n v="0.45766995198382615"/>
    <n v="0.47984538928768639"/>
    <n v="0.52015461071231361"/>
    <n v="0"/>
    <n v="252"/>
    <n v="0"/>
    <n v="1632"/>
    <n v="3144"/>
    <n v="-211"/>
    <n v="524"/>
    <n v="-35.166666666666742"/>
    <n v="-6.2891207153502368E-2"/>
    <m/>
    <n v="-1122"/>
    <n v="275"/>
    <n v="13"/>
    <n v="17"/>
    <n v="-817"/>
    <n v="-223"/>
    <n v="38"/>
    <n v="0"/>
    <n v="28"/>
    <n v="-157"/>
    <n v="0"/>
    <n v="0"/>
    <n v="0"/>
    <n v="0"/>
    <n v="0"/>
    <n v="-1759"/>
    <n v="-293.16666666666663"/>
    <n v="1019"/>
    <n v="37"/>
    <n v="857"/>
    <n v="3281"/>
    <n v="5194"/>
    <m/>
    <m/>
    <m/>
    <m/>
    <m/>
    <m/>
    <m/>
    <m/>
    <m/>
    <m/>
    <m/>
    <m/>
    <m/>
    <m/>
    <m/>
    <m/>
    <m/>
    <m/>
    <m/>
    <n v="0"/>
    <n v="0"/>
    <m/>
    <m/>
    <m/>
    <m/>
    <m/>
    <m/>
    <m/>
    <m/>
    <m/>
    <m/>
    <m/>
    <m/>
    <m/>
    <m/>
    <m/>
    <m/>
    <m/>
    <m/>
    <n v="4"/>
    <m/>
    <m/>
    <m/>
    <m/>
    <m/>
    <m/>
    <m/>
    <m/>
    <m/>
    <m/>
    <m/>
    <m/>
    <m/>
    <m/>
    <m/>
    <m/>
    <m/>
    <m/>
    <m/>
    <m/>
    <m/>
    <m/>
    <m/>
    <m/>
    <m/>
    <m/>
    <m/>
    <m/>
    <m/>
    <m/>
    <m/>
    <m/>
    <m/>
    <m/>
    <m/>
    <m/>
    <m/>
    <m/>
    <m/>
    <m/>
    <m/>
    <m/>
    <m/>
    <m/>
    <m/>
    <m/>
    <m/>
    <m/>
    <m/>
    <m/>
    <m/>
    <n v="99.67"/>
    <n v="8.86"/>
    <n v="15.2"/>
    <m/>
    <m/>
    <x v="0"/>
    <m/>
    <m/>
    <m/>
    <m/>
    <m/>
    <m/>
    <m/>
    <m/>
    <m/>
  </r>
  <r>
    <x v="5"/>
    <s v="COP"/>
    <x v="2"/>
    <n v="850"/>
    <n v="153"/>
    <n v="0"/>
    <n v="294.66666666666663"/>
    <n v="1768"/>
    <n v="1056"/>
    <n v="188"/>
    <n v="0"/>
    <n v="364"/>
    <n v="2184"/>
    <n v="658.66666666666663"/>
    <n v="3952"/>
    <n v="0.44736842105263158"/>
    <n v="0.48076923076923078"/>
    <n v="0.51923076923076927"/>
    <n v="0"/>
    <n v="116"/>
    <n v="101"/>
    <n v="1365"/>
    <n v="2667"/>
    <n v="-477"/>
    <n v="444.5"/>
    <n v="-79.5"/>
    <n v="-0.15171755725190839"/>
    <m/>
    <n v="526"/>
    <n v="146"/>
    <n v="0"/>
    <n v="3"/>
    <n v="675"/>
    <n v="85"/>
    <n v="31"/>
    <n v="0"/>
    <n v="15"/>
    <n v="131"/>
    <n v="0"/>
    <n v="0"/>
    <n v="0"/>
    <n v="0"/>
    <n v="0"/>
    <n v="1461"/>
    <n v="243.5"/>
    <n v="78"/>
    <n v="7"/>
    <n v="613"/>
    <n v="2516"/>
    <n v="3214"/>
    <n v="12182"/>
    <n v="310.33333333333337"/>
    <n v="1862"/>
    <n v="39.254564983888287"/>
    <n v="6.5424274973147156"/>
    <m/>
    <n v="3070"/>
    <n v="1830"/>
    <n v="0"/>
    <n v="818.68421052631595"/>
    <n v="998"/>
    <n v="0"/>
    <n v="446.47368421052636"/>
    <n v="0"/>
    <n v="1557"/>
    <n v="1557"/>
    <n v="1776"/>
    <m/>
    <n v="794.52631578947376"/>
    <n v="48509"/>
    <n v="48509"/>
    <n v="0.44736842105263164"/>
    <n v="6686.6842105263158"/>
    <n v="22.69236723029293"/>
    <n v="3.7820612050488212"/>
    <m/>
    <n v="9900.6842105263167"/>
    <n v="990.06842105263172"/>
    <n v="0.30804866865358799"/>
    <n v="3.3599607049297462"/>
    <n v="0.55999345082162433"/>
    <n v="10.907239819004527"/>
    <n v="1.8178733031674208"/>
    <n v="61.946932214181217"/>
    <n v="65.306892919110965"/>
    <n v="72.854172033185748"/>
    <n v="10.324488702363537"/>
    <n v="10.884482153185161"/>
    <n v="12.142362005530957"/>
    <n v="4"/>
    <n v="6.1946932214181221"/>
    <n v="1825.3696025778731"/>
    <n v="0.56794324909081306"/>
    <n v="908"/>
    <m/>
    <m/>
    <m/>
    <m/>
    <m/>
    <m/>
    <m/>
    <m/>
    <m/>
    <m/>
    <m/>
    <m/>
    <m/>
    <m/>
    <m/>
    <m/>
    <m/>
    <m/>
    <m/>
    <m/>
    <m/>
    <m/>
    <m/>
    <m/>
    <m/>
    <m/>
    <m/>
    <m/>
    <m/>
    <m/>
    <m/>
    <m/>
    <m/>
    <m/>
    <m/>
    <m/>
    <m/>
    <m/>
    <m/>
    <m/>
    <m/>
    <m/>
    <m/>
    <m/>
    <m/>
    <m/>
    <m/>
    <n v="61.95"/>
    <n v="3.94"/>
    <n v="8.99"/>
    <m/>
    <m/>
    <x v="0"/>
    <m/>
    <m/>
    <m/>
    <m/>
    <m/>
    <m/>
    <m/>
    <m/>
    <m/>
  </r>
  <r>
    <x v="5"/>
    <s v="COP"/>
    <x v="3"/>
    <n v="764"/>
    <n v="109"/>
    <n v="30"/>
    <n v="266.33333333333331"/>
    <n v="1598"/>
    <n v="1030"/>
    <n v="156"/>
    <n v="23"/>
    <n v="350.66666666666663"/>
    <n v="2104"/>
    <n v="617"/>
    <n v="3702"/>
    <n v="0.43165856293895194"/>
    <n v="0.47809762202753442"/>
    <n v="0.40926157697121407"/>
    <n v="0.11264080100125157"/>
    <n v="167"/>
    <n v="78"/>
    <n v="1295"/>
    <n v="2765"/>
    <n v="98"/>
    <n v="460.83333333333337"/>
    <n v="16.333333333333371"/>
    <n v="3.6745406824147064E-2"/>
    <m/>
    <n v="520"/>
    <n v="126"/>
    <n v="9"/>
    <n v="25"/>
    <n v="680"/>
    <n v="74"/>
    <n v="44"/>
    <n v="0"/>
    <n v="53"/>
    <n v="171"/>
    <n v="15"/>
    <n v="3"/>
    <n v="1"/>
    <n v="0"/>
    <n v="19"/>
    <n v="1820"/>
    <n v="303.33333333333331"/>
    <n v="260"/>
    <n v="100"/>
    <n v="606"/>
    <n v="2027"/>
    <n v="2993"/>
    <n v="11401"/>
    <n v="253.66666666666669"/>
    <n v="1522"/>
    <n v="44.944809461235216"/>
    <n v="7.4908015768725358"/>
    <m/>
    <n v="3031"/>
    <n v="809"/>
    <n v="0"/>
    <n v="349.2117774176121"/>
    <n v="1210"/>
    <n v="0"/>
    <n v="522.30686115613184"/>
    <n v="0"/>
    <n v="2068"/>
    <n v="2068"/>
    <n v="1658"/>
    <n v="0"/>
    <n v="715.68989735278228"/>
    <n v="56215"/>
    <n v="56215"/>
    <n v="0.43165856293895194"/>
    <n v="6686.2085359265266"/>
    <n v="25.104662838272318"/>
    <n v="4.1841104730453855"/>
    <m/>
    <n v="9679.2085359265257"/>
    <n v="967.92085359265263"/>
    <n v="0.3233948725668736"/>
    <n v="3.6342460084830512"/>
    <n v="0.60570766808050858"/>
    <n v="11.237797246558198"/>
    <n v="1.8729662077596996"/>
    <n v="70.049472299507528"/>
    <n v="73.683718307990574"/>
    <n v="81.28726954606573"/>
    <n v="11.674912049917921"/>
    <n v="12.28061971799843"/>
    <n v="13.54787825767762"/>
    <n v="4"/>
    <n v="7.0049472299507531"/>
    <n v="1865.6509455768837"/>
    <n v="0.62333810410186563"/>
    <n v="1013"/>
    <m/>
    <m/>
    <m/>
    <m/>
    <m/>
    <m/>
    <m/>
    <m/>
    <m/>
    <m/>
    <m/>
    <m/>
    <m/>
    <m/>
    <m/>
    <m/>
    <m/>
    <m/>
    <m/>
    <m/>
    <m/>
    <m/>
    <m/>
    <m/>
    <m/>
    <m/>
    <m/>
    <m/>
    <m/>
    <m/>
    <m/>
    <m/>
    <m/>
    <m/>
    <m/>
    <m/>
    <m/>
    <m/>
    <m/>
    <m/>
    <m/>
    <m/>
    <m/>
    <m/>
    <m/>
    <m/>
    <m/>
    <n v="79.48"/>
    <n v="4.37"/>
    <n v="11.83"/>
    <m/>
    <m/>
    <x v="0"/>
    <m/>
    <m/>
    <m/>
    <m/>
    <m/>
    <m/>
    <m/>
    <m/>
    <m/>
  </r>
  <r>
    <x v="5"/>
    <s v="COP"/>
    <x v="4"/>
    <n v="708"/>
    <n v="107"/>
    <n v="32"/>
    <n v="257"/>
    <n v="1542"/>
    <n v="924"/>
    <n v="116"/>
    <n v="19"/>
    <n v="289"/>
    <n v="1734"/>
    <n v="546"/>
    <n v="3276"/>
    <n v="0.47069597069597069"/>
    <n v="0.45914396887159531"/>
    <n v="0.41634241245136189"/>
    <n v="0.1245136186770428"/>
    <n v="190"/>
    <n v="73"/>
    <n v="1047"/>
    <n v="2625"/>
    <n v="-140"/>
    <n v="437.5"/>
    <n v="-23.333333333333371"/>
    <n v="-5.0632911392405139E-2"/>
    <m/>
    <n v="201"/>
    <n v="174"/>
    <n v="7"/>
    <n v="6"/>
    <n v="388"/>
    <n v="87"/>
    <n v="77"/>
    <n v="0"/>
    <n v="17"/>
    <n v="181"/>
    <n v="28"/>
    <n v="12"/>
    <n v="1"/>
    <n v="0"/>
    <n v="41"/>
    <n v="1720"/>
    <n v="286.66666666666669"/>
    <n v="578"/>
    <n v="10"/>
    <n v="1115"/>
    <n v="3132"/>
    <n v="4835"/>
    <n v="11042"/>
    <n v="833.5"/>
    <n v="5001"/>
    <n v="13.247750449910018"/>
    <n v="2.2079584083183361"/>
    <m/>
    <n v="3314"/>
    <n v="865"/>
    <n v="0"/>
    <n v="407.15201465201466"/>
    <n v="9827"/>
    <n v="0"/>
    <n v="4625.5293040293036"/>
    <n v="0"/>
    <n v="3241"/>
    <n v="3241"/>
    <n v="1442"/>
    <n v="0"/>
    <n v="678.74358974358972"/>
    <n v="64196"/>
    <n v="64196"/>
    <n v="0.47069597069597069"/>
    <n v="12266.424908424908"/>
    <n v="47.729279799318704"/>
    <n v="7.9548799665531176"/>
    <m/>
    <n v="17101.42490842491"/>
    <n v="1710.142490842491"/>
    <n v="0.3537006185816941"/>
    <n v="6.6542509371303149"/>
    <n v="1.1090418228550525"/>
    <n v="18.813229571984436"/>
    <n v="3.1355382619974059"/>
    <n v="60.977030249228719"/>
    <n v="67.631281186359033"/>
    <n v="79.790259821213155"/>
    <n v="10.162838374871454"/>
    <n v="11.271880197726507"/>
    <n v="13.298376636868859"/>
    <n v="4"/>
    <n v="6.0977030249228719"/>
    <n v="1567.109677405178"/>
    <n v="0.32411782366187758"/>
    <n v="1037"/>
    <m/>
    <m/>
    <m/>
    <m/>
    <m/>
    <m/>
    <m/>
    <m/>
    <m/>
    <m/>
    <m/>
    <m/>
    <m/>
    <m/>
    <m/>
    <m/>
    <m/>
    <m/>
    <m/>
    <m/>
    <m/>
    <m/>
    <m/>
    <m/>
    <m/>
    <m/>
    <m/>
    <m/>
    <m/>
    <m/>
    <m/>
    <m/>
    <m/>
    <m/>
    <m/>
    <m/>
    <m/>
    <m/>
    <m/>
    <m/>
    <m/>
    <m/>
    <m/>
    <m/>
    <m/>
    <m/>
    <m/>
    <n v="94.88"/>
    <n v="4"/>
    <n v="15.12"/>
    <m/>
    <m/>
    <x v="0"/>
    <m/>
    <m/>
    <m/>
    <m/>
    <m/>
    <m/>
    <m/>
    <m/>
    <m/>
  </r>
  <r>
    <x v="5"/>
    <s v="COP"/>
    <x v="5"/>
    <n v="685"/>
    <n v="115"/>
    <n v="36"/>
    <n v="265.16666666666669"/>
    <n v="1591"/>
    <n v="854"/>
    <n v="106"/>
    <n v="21"/>
    <n v="269.33333333333337"/>
    <n v="1616"/>
    <n v="534.5"/>
    <n v="3207"/>
    <n v="0.49610227627065795"/>
    <n v="0.43054682589566312"/>
    <n v="0.43368950345694529"/>
    <n v="0.13576367064739156"/>
    <n v="307"/>
    <n v="69"/>
    <n v="925"/>
    <n v="3181"/>
    <n v="556"/>
    <n v="530.16666666666663"/>
    <n v="92.666666666666629"/>
    <n v="0.21180952380952373"/>
    <m/>
    <n v="-483"/>
    <n v="451"/>
    <n v="9"/>
    <n v="27"/>
    <n v="4"/>
    <n v="9"/>
    <n v="205"/>
    <n v="0"/>
    <n v="16"/>
    <n v="230"/>
    <n v="-9"/>
    <n v="40"/>
    <n v="1"/>
    <n v="0"/>
    <n v="32"/>
    <n v="1576"/>
    <n v="262.66666666666663"/>
    <n v="564"/>
    <n v="33"/>
    <n v="1376"/>
    <n v="4561"/>
    <n v="6534"/>
    <n v="14362"/>
    <n v="852.66666666666663"/>
    <n v="5116"/>
    <n v="16.843627834245506"/>
    <n v="2.8072713057075842"/>
    <m/>
    <n v="3576"/>
    <n v="1106"/>
    <n v="0"/>
    <n v="548.68911755534759"/>
    <n v="8100"/>
    <n v="0"/>
    <n v="4018.4284377923291"/>
    <n v="0"/>
    <n v="2990"/>
    <n v="2990"/>
    <n v="1324"/>
    <n v="0"/>
    <n v="656.83941378235102"/>
    <n v="57967"/>
    <n v="57967"/>
    <n v="0.49610227627065789"/>
    <n v="11789.956969130028"/>
    <n v="44.462439858441336"/>
    <n v="7.4104066430735562"/>
    <m/>
    <n v="18323.956969130028"/>
    <n v="1832.3956969130029"/>
    <n v="0.28044011278129827"/>
    <n v="6.9103546080942904"/>
    <n v="1.1517257680157151"/>
    <n v="24.64110622250157"/>
    <n v="4.1068510370835956"/>
    <n v="61.306067692686838"/>
    <n v="68.216422300781133"/>
    <n v="85.947173915188415"/>
    <n v="10.217677948781141"/>
    <n v="11.369403716796857"/>
    <n v="14.324528985864736"/>
    <n v="4"/>
    <n v="6.1306067692686836"/>
    <n v="1625.6325616510794"/>
    <n v="0.24879592311770424"/>
    <n v="1038"/>
    <m/>
    <m/>
    <n v="377.4693125"/>
    <n v="142.44125"/>
    <n v="2.65"/>
    <n v="279.00599999999997"/>
    <n v="132.85999999999999"/>
    <n v="2.1"/>
    <n v="478.54784999999993"/>
    <n v="137.51374999999999"/>
    <n v="3.48"/>
    <n v="401.83123750000038"/>
    <n v="152.20500000000001"/>
    <n v="2.6400659472422086"/>
    <n v="1536.8544000000002"/>
    <n v="565.02"/>
    <n v="2.72"/>
    <n v="2935.96875"/>
    <n v="29.65625"/>
    <n v="99"/>
    <n v="2436.7199249999999"/>
    <n v="27.192499999999999"/>
    <n v="89.61"/>
    <n v="2309.2509750000004"/>
    <n v="25.641250000000003"/>
    <n v="90.06"/>
    <n v="3358.5292499999996"/>
    <n v="31.025000000000006"/>
    <n v="108.25235294117644"/>
    <n v="11040.4689"/>
    <n v="113.515"/>
    <n v="97.26"/>
    <n v="417.90674999999993"/>
    <n v="9.3074999999999992"/>
    <n v="44.9"/>
    <n v="312.748425"/>
    <n v="9.0337500000000013"/>
    <n v="34.619999999999997"/>
    <n v="277.92925000000002"/>
    <n v="8.8512500000000003"/>
    <n v="31.4"/>
    <n v="298.27982500000002"/>
    <n v="9.6725000000000012"/>
    <n v="30.837924528301883"/>
    <n v="1306.8642500000001"/>
    <n v="36.865000000000002"/>
    <n v="35.450000000000003"/>
    <n v="94.05"/>
    <n v="2.75"/>
    <n v="10.98"/>
    <n v="2.41"/>
    <n v="2.2799999999999998"/>
    <x v="1"/>
    <n v="3.4"/>
    <n v="13.14"/>
    <n v="10.75"/>
    <n v="9.9600000000000009"/>
    <n v="10.08"/>
    <n v="102.98"/>
    <n v="93.29"/>
    <n v="92.17"/>
    <n v="88.01"/>
  </r>
  <r>
    <x v="5"/>
    <s v="COP"/>
    <x v="6"/>
    <n v="678"/>
    <n v="120"/>
    <n v="40"/>
    <n v="273"/>
    <n v="1638"/>
    <n v="977"/>
    <n v="98"/>
    <n v="59"/>
    <n v="319.83333333333337"/>
    <n v="1919"/>
    <n v="592.83333333333337"/>
    <n v="3557"/>
    <n v="0.46050042170368288"/>
    <n v="0.41391941391941389"/>
    <n v="0.43956043956043955"/>
    <n v="0.14652014652014653"/>
    <n v="441"/>
    <n v="100"/>
    <n v="939"/>
    <n v="4185"/>
    <n v="1004"/>
    <n v="697.5"/>
    <n v="167.33333333333337"/>
    <n v="0.31562401760452696"/>
    <m/>
    <n v="287"/>
    <n v="510"/>
    <n v="0"/>
    <n v="6"/>
    <n v="803"/>
    <n v="13"/>
    <n v="244"/>
    <n v="0"/>
    <n v="20"/>
    <n v="277"/>
    <n v="45"/>
    <n v="58"/>
    <n v="0"/>
    <n v="0"/>
    <n v="103"/>
    <n v="3083"/>
    <n v="513.83333333333337"/>
    <n v="314"/>
    <n v="4"/>
    <n v="1315"/>
    <n v="4992"/>
    <n v="6625"/>
    <n v="17994"/>
    <n v="1063.1666666666665"/>
    <n v="6379"/>
    <n v="16.924909860479701"/>
    <n v="2.8208183100799498"/>
    <m/>
    <n v="4068"/>
    <n v="854"/>
    <n v="0"/>
    <n v="393.26736013494525"/>
    <n v="4910"/>
    <n v="0"/>
    <n v="2261.0570705650834"/>
    <n v="0"/>
    <n v="2261"/>
    <n v="2261"/>
    <n v="1279"/>
    <n v="0"/>
    <n v="588.98003935901045"/>
    <n v="54413"/>
    <n v="54413"/>
    <n v="0.46050042170368294"/>
    <n v="9572.3044700590399"/>
    <n v="35.063386337212599"/>
    <n v="5.8438977228687667"/>
    <m/>
    <n v="16197.30447005904"/>
    <n v="1619.7304470059041"/>
    <n v="0.24448761464240062"/>
    <n v="5.9330785604611869"/>
    <n v="0.98884642674353118"/>
    <n v="24.267399267399266"/>
    <n v="4.0445665445665444"/>
    <n v="51.9882961976923"/>
    <n v="57.92137475815349"/>
    <n v="76.255695465091563"/>
    <n v="8.6647160329487161"/>
    <n v="9.6535624596922478"/>
    <n v="12.70928257751526"/>
    <n v="4"/>
    <n v="5.1988296197692296"/>
    <n v="1419.2804861969996"/>
    <n v="0.21423101678445278"/>
    <n v="994"/>
    <m/>
    <m/>
    <n v="435.75798750000007"/>
    <n v="136.60125000000002"/>
    <n v="3.19"/>
    <n v="520.64512500000001"/>
    <n v="135.23249999999999"/>
    <n v="3.85"/>
    <n v="467.40896250000003"/>
    <n v="137.87875"/>
    <n v="3.39"/>
    <n v="545.78632499999969"/>
    <n v="149.83249999999995"/>
    <n v="3.6426431181485985"/>
    <n v="1969.5983999999999"/>
    <n v="559.54499999999996"/>
    <n v="3.52"/>
    <n v="2889.6338249999999"/>
    <n v="30.842499999999998"/>
    <n v="93.69"/>
    <n v="2757.5640499999995"/>
    <n v="29.473749999999995"/>
    <n v="93.56"/>
    <n v="2872.413125"/>
    <n v="28.6525"/>
    <n v="100.25"/>
    <n v="3006.2495000000008"/>
    <n v="31.481249999999992"/>
    <n v="95.493333333333382"/>
    <n v="11525.860499999999"/>
    <n v="120.44999999999999"/>
    <n v="95.69"/>
    <n v="283.41337499999997"/>
    <n v="9.5812499999999989"/>
    <n v="29.58"/>
    <n v="283.40424999999999"/>
    <n v="9.6724999999999994"/>
    <n v="29.3"/>
    <n v="312.06131249999999"/>
    <n v="9.5812499999999989"/>
    <n v="32.57"/>
    <n v="339.08226249999996"/>
    <n v="9.8550000000000022"/>
    <n v="34.407129629629615"/>
    <n v="1217.9612"/>
    <n v="38.69"/>
    <n v="31.48"/>
    <n v="97.98"/>
    <n v="3.73"/>
    <n v="9.94"/>
    <n v="3.49"/>
    <n v="4.01"/>
    <x v="2"/>
    <n v="3.85"/>
    <n v="9.77"/>
    <n v="9.39"/>
    <n v="10.01"/>
    <n v="10.53"/>
    <n v="94.33"/>
    <n v="94.05"/>
    <n v="105.83"/>
    <n v="97.44"/>
  </r>
  <r>
    <x v="5"/>
    <s v="COP"/>
    <x v="7"/>
    <n v="679"/>
    <n v="132"/>
    <n v="40"/>
    <n v="285.16666666666669"/>
    <n v="1711"/>
    <n v="950"/>
    <n v="90"/>
    <n v="64"/>
    <n v="312.33333333333337"/>
    <n v="1874"/>
    <n v="597.5"/>
    <n v="3585"/>
    <n v="0.47726638772663876"/>
    <n v="0.39684395090590296"/>
    <n v="0.46288720046756282"/>
    <n v="0.14026884862653419"/>
    <n v="476"/>
    <n v="103"/>
    <n v="1079"/>
    <n v="4553"/>
    <n v="368"/>
    <n v="758.83333333333337"/>
    <n v="61.333333333333371"/>
    <n v="8.7933094384707339E-2"/>
    <m/>
    <n v="506"/>
    <n v="263"/>
    <n v="0"/>
    <n v="0"/>
    <n v="769"/>
    <n v="19"/>
    <n v="132"/>
    <n v="0"/>
    <n v="8"/>
    <n v="159"/>
    <n v="-13"/>
    <n v="26"/>
    <n v="0"/>
    <n v="0"/>
    <n v="13"/>
    <n v="1801"/>
    <n v="300.16666666666663"/>
    <n v="159"/>
    <n v="10"/>
    <n v="1477"/>
    <n v="6144"/>
    <n v="7790"/>
    <n v="20949"/>
    <n v="1076.6666666666665"/>
    <n v="6460"/>
    <n v="19.457275541795667"/>
    <n v="3.2428792569659444"/>
    <m/>
    <n v="4346"/>
    <n v="735"/>
    <n v="0"/>
    <n v="350.79079497907946"/>
    <n v="4203"/>
    <n v="0"/>
    <n v="2005.9506276150628"/>
    <n v="0"/>
    <n v="1542"/>
    <n v="1542"/>
    <n v="1136"/>
    <n v="0"/>
    <n v="542.17461645746164"/>
    <n v="52524"/>
    <n v="52524"/>
    <n v="0.47726638772663876"/>
    <n v="8786.9160390516045"/>
    <n v="30.813264894394869"/>
    <n v="5.1355441490658125"/>
    <m/>
    <n v="16576.916039051604"/>
    <n v="1657.6916039051605"/>
    <n v="0.21279738175932741"/>
    <n v="5.8130623164412407"/>
    <n v="0.96884371940687342"/>
    <n v="27.317358270017532"/>
    <n v="4.5528930450029224"/>
    <n v="50.270540436190537"/>
    <n v="56.083602752631776"/>
    <n v="77.587898706208065"/>
    <n v="8.3784234060317573"/>
    <n v="9.3472671254386306"/>
    <n v="12.931316451034679"/>
    <n v="4"/>
    <n v="5.0270540436190538"/>
    <n v="1433.5482447720335"/>
    <n v="0.18402416492580662"/>
    <n v="1299"/>
    <m/>
    <m/>
    <n v="683.04092500000002"/>
    <n v="134.456875"/>
    <n v="5.08"/>
    <n v="604.33506250000005"/>
    <n v="136.41875000000002"/>
    <n v="4.43"/>
    <n v="553.94955000000004"/>
    <n v="139.88625000000002"/>
    <n v="3.96"/>
    <n v="586.94646250000028"/>
    <n v="151.33812499999999"/>
    <n v="3.8783780524570415"/>
    <n v="2428.2720000000004"/>
    <n v="562.1"/>
    <n v="4.32"/>
    <n v="2739.1936000000001"/>
    <n v="29.93"/>
    <n v="91.52"/>
    <n v="3087.5833625"/>
    <n v="32.941249999999997"/>
    <n v="93.73"/>
    <n v="2647.189875"/>
    <n v="30.112500000000001"/>
    <n v="87.91"/>
    <n v="2465.2656624999986"/>
    <n v="34.766249999999992"/>
    <n v="70.909737532808379"/>
    <n v="10939.232499999998"/>
    <n v="127.74999999999999"/>
    <n v="85.63"/>
    <n v="352.080825"/>
    <n v="9.7637499999999999"/>
    <n v="36.06"/>
    <n v="331.09880000000004"/>
    <n v="10.585000000000001"/>
    <n v="31.28"/>
    <n v="313.44739999999996"/>
    <n v="10.219999999999999"/>
    <n v="30.67"/>
    <n v="237.58397499999978"/>
    <n v="9.5812499999999989"/>
    <n v="24.796761904761883"/>
    <n v="1234.2109999999998"/>
    <n v="40.15"/>
    <n v="30.74"/>
    <n v="93.17"/>
    <n v="4.37"/>
    <n v="9.56"/>
    <n v="5.21"/>
    <n v="4.6100000000000003"/>
    <x v="3"/>
    <n v="3.8"/>
    <n v="11.19"/>
    <n v="10.15"/>
    <n v="9.83"/>
    <n v="7.41"/>
    <n v="98.68"/>
    <n v="103.35"/>
    <n v="97.87"/>
    <n v="73.209999999999994"/>
  </r>
  <r>
    <x v="5"/>
    <s v="COP"/>
    <x v="8"/>
    <n v="671"/>
    <n v="135"/>
    <n v="41"/>
    <n v="287.83333333333331"/>
    <n v="1727"/>
    <n v="972"/>
    <n v="87"/>
    <n v="74"/>
    <n v="323"/>
    <n v="1938"/>
    <n v="610.83333333333326"/>
    <n v="3665"/>
    <n v="0.47121418826739425"/>
    <n v="0.38853503184713378"/>
    <n v="0.46902142443543721"/>
    <n v="0.14244354371742907"/>
    <n v="401"/>
    <n v="86"/>
    <n v="747"/>
    <n v="3669"/>
    <n v="-884"/>
    <n v="611.5"/>
    <n v="-147.33333333333337"/>
    <n v="-0.19415769822095325"/>
    <m/>
    <n v="-1177"/>
    <n v="107"/>
    <n v="0"/>
    <n v="0"/>
    <n v="-1070"/>
    <n v="-184"/>
    <n v="77"/>
    <n v="0"/>
    <n v="8"/>
    <n v="-99"/>
    <n v="-85"/>
    <n v="10"/>
    <n v="0"/>
    <n v="0"/>
    <n v="-75"/>
    <n v="-2114"/>
    <n v="-352.33333333333337"/>
    <n v="168"/>
    <n v="5"/>
    <n v="1456"/>
    <n v="4092"/>
    <n v="5721"/>
    <n v="20136"/>
    <n v="461.66666666666663"/>
    <n v="2770"/>
    <n v="43.615884476534298"/>
    <n v="7.2693140794223829"/>
    <m/>
    <n v="4261"/>
    <n v="953"/>
    <n v="0"/>
    <n v="449.06712141882673"/>
    <n v="523"/>
    <n v="0"/>
    <n v="246.44502046384719"/>
    <n v="0"/>
    <n v="639"/>
    <n v="639"/>
    <n v="1214"/>
    <n v="0"/>
    <n v="572.05402455661658"/>
    <n v="29564"/>
    <n v="29564"/>
    <n v="0.47121418826739425"/>
    <n v="6167.5661664392901"/>
    <n v="21.427560508764181"/>
    <n v="3.5712600847940301"/>
    <m/>
    <n v="11888.56616643929"/>
    <n v="1188.8566166439291"/>
    <n v="0.20780573617268469"/>
    <n v="4.1303646206505933"/>
    <n v="0.68839410344176555"/>
    <n v="19.87608569774175"/>
    <n v="3.3126809496236249"/>
    <n v="65.043444985298478"/>
    <n v="69.173809605949074"/>
    <n v="84.919530683040222"/>
    <n v="10.840574164216413"/>
    <n v="11.528968267658179"/>
    <n v="14.153255113840038"/>
    <n v="4"/>
    <n v="6.5043444985298482"/>
    <n v="1872.1671581601745"/>
    <n v="0.32724474010840315"/>
    <n v="1260"/>
    <m/>
    <m/>
    <n v="369.39824999999996"/>
    <n v="142.07624999999999"/>
    <n v="2.6"/>
    <n v="334.88384999999994"/>
    <n v="140.70749999999998"/>
    <n v="2.38"/>
    <n v="360.54243750000001"/>
    <n v="136.05375000000001"/>
    <n v="2.65"/>
    <n v="306.43301250000013"/>
    <n v="136.32750000000001"/>
    <n v="2.2477710843373502"/>
    <n v="1371.25755"/>
    <n v="555.16499999999996"/>
    <n v="2.4700000000000002"/>
    <n v="1361.6160750000001"/>
    <n v="33.397500000000001"/>
    <n v="40.770000000000003"/>
    <n v="1722.7662375"/>
    <n v="33.123750000000001"/>
    <n v="52.01"/>
    <n v="1353.86895"/>
    <n v="32.576250000000002"/>
    <n v="41.56"/>
    <n v="1177.7409374999995"/>
    <n v="33.762499999999982"/>
    <n v="34.883108108108111"/>
    <n v="5615.9921999999997"/>
    <n v="132.85999999999999"/>
    <n v="42.27"/>
    <n v="151.8263125"/>
    <n v="9.7637499999999999"/>
    <n v="15.55"/>
    <n v="157.65901250000002"/>
    <n v="10.311250000000001"/>
    <n v="15.29"/>
    <n v="120.2446875"/>
    <n v="9.5812499999999989"/>
    <n v="12.55"/>
    <n v="132.77148749999995"/>
    <n v="10.49375"/>
    <n v="12.65243478260869"/>
    <n v="562.50149999999996"/>
    <n v="40.15"/>
    <n v="14.01"/>
    <n v="48.66"/>
    <n v="2.62"/>
    <n v="4.97"/>
    <n v="2.9"/>
    <n v="2.75"/>
    <x v="4"/>
    <n v="2.12"/>
    <n v="5.43"/>
    <n v="5.2"/>
    <n v="4.68"/>
    <n v="4.5999999999999996"/>
    <n v="48.49"/>
    <n v="57.85"/>
    <n v="46.64"/>
    <n v="41.94"/>
  </r>
  <r>
    <x v="5"/>
    <s v="COP"/>
    <x v="9"/>
    <n v="567"/>
    <n v="131"/>
    <n v="36"/>
    <n v="261.5"/>
    <n v="1569"/>
    <n v="994"/>
    <n v="87"/>
    <n v="84"/>
    <n v="336.66666666666663"/>
    <n v="2020"/>
    <n v="598.16666666666663"/>
    <n v="3589"/>
    <n v="0.43716912789077739"/>
    <n v="0.36137667304015297"/>
    <n v="0.50095602294455066"/>
    <n v="0.13766730401529637"/>
    <n v="340"/>
    <n v="69"/>
    <n v="523"/>
    <n v="2977"/>
    <n v="-692"/>
    <n v="496.16666666666669"/>
    <n v="-115.33333333333331"/>
    <n v="-0.18860724993186151"/>
    <m/>
    <n v="-229"/>
    <n v="164"/>
    <n v="0"/>
    <n v="0"/>
    <n v="-65"/>
    <n v="-150"/>
    <n v="112"/>
    <n v="9"/>
    <n v="0"/>
    <n v="-29"/>
    <n v="-32"/>
    <n v="18"/>
    <n v="0"/>
    <n v="0"/>
    <n v="-14"/>
    <n v="-323"/>
    <n v="-53.833333333333336"/>
    <n v="127"/>
    <n v="5"/>
    <n v="766"/>
    <n v="1502"/>
    <n v="2400"/>
    <n v="15911"/>
    <n v="-106.00000000000009"/>
    <n v="-636"/>
    <n v="-150.10377358490555"/>
    <n v="-25.017295597484278"/>
    <m/>
    <n v="3699"/>
    <n v="723"/>
    <n v="0"/>
    <n v="316.07327946503204"/>
    <n v="-318"/>
    <n v="0"/>
    <n v="-139.01978266926722"/>
    <n v="0"/>
    <n v="539"/>
    <n v="539"/>
    <n v="1402"/>
    <n v="0"/>
    <n v="612.91111730286991"/>
    <n v="23693"/>
    <n v="23693"/>
    <n v="0.43716912789077739"/>
    <n v="5027.9646140986351"/>
    <n v="19.227398141868587"/>
    <n v="3.2045663569780976"/>
    <m/>
    <n v="7427.9646140986351"/>
    <n v="742.79646140986358"/>
    <n v="0.30949852558744317"/>
    <n v="2.8405218409555011"/>
    <n v="0.4734203068259169"/>
    <n v="9.1778202676864247"/>
    <n v="1.5296367112810707"/>
    <n v="-130.87637544303698"/>
    <n v="-128.03585360208149"/>
    <n v="-121.69855517535055"/>
    <n v="-21.812729240506179"/>
    <n v="-21.339308933680261"/>
    <n v="-20.283092529225108"/>
    <n v="4"/>
    <n v="-13.087637544303698"/>
    <n v="-3422.417217835417"/>
    <n v="-1.4260071740980904"/>
    <n v="1063"/>
    <m/>
    <m/>
    <n v="205.96949999999998"/>
    <n v="114.42749999999999"/>
    <n v="1.8"/>
    <n v="197.16387499999999"/>
    <n v="115.97874999999999"/>
    <n v="1.7"/>
    <n v="293.53117499999996"/>
    <n v="113.3325"/>
    <n v="2.59"/>
    <n v="302.26745000000017"/>
    <n v="110.32125000000001"/>
    <n v="2.7398842018196872"/>
    <n v="998.93200000000013"/>
    <n v="454.06"/>
    <n v="2.2000000000000002"/>
    <n v="917.87279999999998"/>
    <n v="33.945"/>
    <n v="27.04"/>
    <n v="1330.014375"/>
    <n v="33.671250000000001"/>
    <n v="39.5"/>
    <n v="1254.7668874999999"/>
    <n v="31.298749999999998"/>
    <n v="40.090000000000003"/>
    <n v="1396.1642375000001"/>
    <n v="31.754999999999988"/>
    <n v="43.966752873563237"/>
    <n v="4898.8182999999999"/>
    <n v="130.66999999999999"/>
    <n v="37.49"/>
    <n v="86.231249999999989"/>
    <n v="9.125"/>
    <n v="9.4499999999999993"/>
    <n v="134.46508749999998"/>
    <n v="9.2162499999999987"/>
    <n v="14.59"/>
    <n v="136.93978749999999"/>
    <n v="9.3987499999999997"/>
    <n v="14.57"/>
    <n v="165.77387500000003"/>
    <n v="8.7600000000000016"/>
    <n v="18.923958333333335"/>
    <n v="523.41"/>
    <n v="36.5"/>
    <n v="14.34"/>
    <n v="43.2"/>
    <n v="2.52"/>
    <n v="5.04"/>
    <n v="1.99"/>
    <n v="2.15"/>
    <x v="1"/>
    <n v="3.04"/>
    <n v="4.0199999999999996"/>
    <n v="5"/>
    <n v="5.04"/>
    <n v="6.05"/>
    <n v="33.35"/>
    <n v="45.46"/>
    <n v="44.85"/>
    <n v="49.14"/>
  </r>
  <r>
    <x v="6"/>
    <s v="CLR"/>
    <x v="0"/>
    <n v="17.151"/>
    <n v="9.1470000000000002"/>
    <n v="0"/>
    <n v="12.0055"/>
    <n v="72.033000000000001"/>
    <n v="0"/>
    <n v="0"/>
    <n v="0"/>
    <n v="0"/>
    <n v="0"/>
    <n v="12.0055"/>
    <n v="72.033000000000001"/>
    <n v="1"/>
    <n v="0.23809920453125649"/>
    <n v="0.76190079546874356"/>
    <n v="0"/>
    <n v="24.388999999999999"/>
    <n v="0"/>
    <n v="53.988"/>
    <n v="200.322"/>
    <m/>
    <n v="33.387"/>
    <m/>
    <m/>
    <m/>
    <n v="7.4340000000000002"/>
    <n v="64.988"/>
    <n v="6.6000000000000003E-2"/>
    <n v="0"/>
    <n v="72.488"/>
    <n v="2.1339999999999999"/>
    <n v="12.744999999999999"/>
    <n v="5.5E-2"/>
    <n v="0"/>
    <n v="14.933999999999999"/>
    <n v="0"/>
    <n v="0"/>
    <n v="0"/>
    <n v="0"/>
    <n v="0"/>
    <n v="162.09199999999998"/>
    <n v="27.015333333333331"/>
    <n v="21.728999999999999"/>
    <n v="4.1660000000000004"/>
    <n v="181.64700000000002"/>
    <n v="316.33999999999997"/>
    <n v="523.88200000000006"/>
    <m/>
    <m/>
    <m/>
    <m/>
    <m/>
    <m/>
    <m/>
    <m/>
    <m/>
    <m/>
    <m/>
    <m/>
    <m/>
    <m/>
    <m/>
    <m/>
    <m/>
    <m/>
    <m/>
    <n v="0"/>
    <n v="0"/>
    <m/>
    <m/>
    <m/>
    <m/>
    <m/>
    <m/>
    <m/>
    <m/>
    <m/>
    <m/>
    <m/>
    <m/>
    <m/>
    <m/>
    <m/>
    <m/>
    <m/>
    <m/>
    <m/>
    <m/>
    <m/>
    <m/>
    <m/>
    <m/>
    <m/>
    <m/>
    <m/>
    <m/>
    <m/>
    <m/>
    <m/>
    <m/>
    <m/>
    <m/>
    <m/>
    <m/>
    <m/>
    <m/>
    <m/>
    <m/>
    <m/>
    <m/>
    <m/>
    <m/>
    <m/>
    <m/>
    <m/>
    <m/>
    <m/>
    <m/>
    <m/>
    <m/>
    <m/>
    <m/>
    <m/>
    <m/>
    <m/>
    <m/>
    <m/>
    <m/>
    <m/>
    <m/>
    <m/>
    <m/>
    <m/>
    <m/>
    <m/>
    <m/>
    <m/>
    <m/>
    <n v="72.34"/>
    <n v="6.97"/>
    <n v="12.91"/>
    <m/>
    <m/>
    <x v="0"/>
    <m/>
    <m/>
    <m/>
    <m/>
    <m/>
    <m/>
    <m/>
    <m/>
    <m/>
  </r>
  <r>
    <x v="6"/>
    <s v="CLR"/>
    <x v="1"/>
    <n v="21.606000000000002"/>
    <n v="10.022"/>
    <n v="0"/>
    <n v="13.623000000000001"/>
    <n v="81.738"/>
    <n v="0"/>
    <n v="0"/>
    <n v="0"/>
    <n v="0"/>
    <n v="0"/>
    <n v="13.623000000000001"/>
    <n v="81.738"/>
    <n v="1"/>
    <n v="0.26433237906481688"/>
    <n v="0.73566762093518312"/>
    <n v="0"/>
    <n v="25.852"/>
    <n v="0"/>
    <n v="164.602"/>
    <n v="319.714"/>
    <n v="119.392"/>
    <n v="53.285666666666671"/>
    <n v="19.898666666666671"/>
    <n v="0.59600043929273883"/>
    <m/>
    <n v="-16.178999999999998"/>
    <n v="167.28800000000001"/>
    <n v="1.361"/>
    <n v="0"/>
    <n v="152.47"/>
    <n v="-10.526999999999999"/>
    <n v="19.765000000000001"/>
    <n v="2.0030000000000001"/>
    <n v="0"/>
    <n v="11.241000000000001"/>
    <n v="0"/>
    <n v="0"/>
    <n v="0"/>
    <n v="0"/>
    <n v="0"/>
    <n v="219.916"/>
    <n v="36.652666666666669"/>
    <n v="199.62100000000001"/>
    <n v="74.662999999999997"/>
    <n v="234.57599999999999"/>
    <n v="468.56799999999998"/>
    <n v="977.428"/>
    <m/>
    <m/>
    <m/>
    <m/>
    <m/>
    <m/>
    <m/>
    <m/>
    <m/>
    <m/>
    <m/>
    <m/>
    <m/>
    <m/>
    <m/>
    <m/>
    <m/>
    <m/>
    <m/>
    <n v="0"/>
    <n v="0"/>
    <m/>
    <m/>
    <m/>
    <m/>
    <m/>
    <m/>
    <m/>
    <m/>
    <m/>
    <m/>
    <m/>
    <m/>
    <m/>
    <m/>
    <m/>
    <m/>
    <m/>
    <m/>
    <m/>
    <m/>
    <m/>
    <m/>
    <m/>
    <m/>
    <m/>
    <m/>
    <m/>
    <m/>
    <m/>
    <m/>
    <m/>
    <m/>
    <m/>
    <m/>
    <m/>
    <m/>
    <m/>
    <m/>
    <m/>
    <m/>
    <m/>
    <m/>
    <m/>
    <m/>
    <m/>
    <m/>
    <m/>
    <m/>
    <m/>
    <m/>
    <m/>
    <m/>
    <m/>
    <m/>
    <m/>
    <m/>
    <m/>
    <m/>
    <m/>
    <m/>
    <m/>
    <m/>
    <m/>
    <m/>
    <m/>
    <m/>
    <m/>
    <m/>
    <m/>
    <m/>
    <n v="99.67"/>
    <n v="8.86"/>
    <n v="15.2"/>
    <m/>
    <m/>
    <x v="0"/>
    <m/>
    <m/>
    <m/>
    <m/>
    <m/>
    <m/>
    <m/>
    <m/>
    <m/>
  </r>
  <r>
    <x v="6"/>
    <s v="CLR"/>
    <x v="2"/>
    <n v="21.606000000000002"/>
    <n v="10.022"/>
    <n v="0"/>
    <n v="13.623000000000001"/>
    <n v="81.738"/>
    <n v="0"/>
    <n v="0"/>
    <n v="0"/>
    <n v="0"/>
    <n v="0"/>
    <n v="13.623000000000001"/>
    <n v="81.738"/>
    <n v="1"/>
    <n v="0.26433237906481688"/>
    <n v="0.73566762093518312"/>
    <n v="0"/>
    <n v="88.01"/>
    <n v="0"/>
    <n v="334.298"/>
    <n v="862.35800000000006"/>
    <n v="542.64400000000001"/>
    <n v="143.72633333333334"/>
    <n v="90.440666666666672"/>
    <n v="1.6972794435026304"/>
    <m/>
    <n v="-2.4849999999999999"/>
    <n v="210.029"/>
    <n v="4.0000000000000001E-3"/>
    <n v="0"/>
    <n v="207.54799999999997"/>
    <n v="1.609"/>
    <n v="75.45"/>
    <n v="4.0000000000000001E-3"/>
    <n v="0"/>
    <n v="77.063000000000002"/>
    <n v="0"/>
    <n v="0"/>
    <n v="0"/>
    <n v="0"/>
    <n v="0"/>
    <n v="669.92600000000004"/>
    <n v="111.65433333333334"/>
    <n v="73.272999999999996"/>
    <n v="1.2170000000000001"/>
    <n v="98.072000000000003"/>
    <n v="259.548"/>
    <n v="432.11"/>
    <n v="1933.42"/>
    <n v="175.32233333333335"/>
    <n v="1051.934"/>
    <n v="11.027802124467884"/>
    <n v="1.8379670207446477"/>
    <m/>
    <n v="93.242000000000004"/>
    <n v="41.094000000000001"/>
    <m/>
    <n v="39.978945777729635"/>
    <n v="0.14599999999999999"/>
    <m/>
    <n v="0.14203840179949689"/>
    <m/>
    <n v="45.645000000000003"/>
    <n v="45.645000000000003"/>
    <n v="20.544609999999999"/>
    <m/>
    <n v="19.987147739684673"/>
    <n v="610.69799999999998"/>
    <n v="627.73099999999999"/>
    <n v="0.97286576574997885"/>
    <n v="198.9951319192138"/>
    <n v="14.607291486399015"/>
    <n v="2.4345485810665028"/>
    <m/>
    <n v="631.10513191921382"/>
    <n v="63.110513191921385"/>
    <n v="0.14605196175029828"/>
    <n v="4.6326442921472051"/>
    <n v="0.77210738202453433"/>
    <n v="31.719151435073037"/>
    <n v="5.2865252391788395"/>
    <n v="25.6350936108669"/>
    <n v="30.267737903014105"/>
    <n v="57.354245045939933"/>
    <n v="4.2725156018111505"/>
    <n v="5.0446229838356853"/>
    <n v="9.5590408409899901"/>
    <n v="4"/>
    <n v="2.5635093610866901"/>
    <n v="34.922688026083982"/>
    <n v="8.0818976709828474E-2"/>
    <n v="22.9"/>
    <m/>
    <m/>
    <m/>
    <m/>
    <m/>
    <m/>
    <m/>
    <m/>
    <m/>
    <m/>
    <m/>
    <m/>
    <m/>
    <m/>
    <m/>
    <m/>
    <m/>
    <m/>
    <m/>
    <m/>
    <m/>
    <m/>
    <m/>
    <m/>
    <m/>
    <m/>
    <m/>
    <m/>
    <m/>
    <m/>
    <m/>
    <m/>
    <m/>
    <m/>
    <m/>
    <m/>
    <m/>
    <m/>
    <m/>
    <m/>
    <m/>
    <m/>
    <m/>
    <m/>
    <m/>
    <m/>
    <m/>
    <n v="61.95"/>
    <n v="3.94"/>
    <n v="8.99"/>
    <m/>
    <m/>
    <x v="0"/>
    <m/>
    <m/>
    <m/>
    <m/>
    <m/>
    <m/>
    <m/>
    <m/>
    <m/>
  </r>
  <r>
    <x v="6"/>
    <s v="CLR"/>
    <x v="3"/>
    <n v="23.943000000000001"/>
    <n v="11.82"/>
    <n v="0"/>
    <n v="15.810500000000001"/>
    <n v="94.863"/>
    <n v="0"/>
    <n v="0"/>
    <n v="0"/>
    <n v="0"/>
    <n v="0"/>
    <n v="15.810500000000001"/>
    <n v="94.863"/>
    <n v="1"/>
    <n v="0.25239555991271623"/>
    <n v="0.74760444008728377"/>
    <n v="0"/>
    <n v="123.512"/>
    <n v="0"/>
    <n v="604.86900000000003"/>
    <n v="1345.941"/>
    <n v="483.58299999999997"/>
    <n v="224.32350000000002"/>
    <n v="80.597166666666681"/>
    <n v="0.56076826561590432"/>
    <m/>
    <n v="79.284999999999997"/>
    <n v="280.14600000000002"/>
    <n v="0"/>
    <n v="0"/>
    <n v="359.43100000000004"/>
    <n v="14.414"/>
    <n v="48.542000000000002"/>
    <n v="0.36799999999999999"/>
    <n v="0"/>
    <n v="63.324000000000005"/>
    <n v="0"/>
    <n v="0"/>
    <n v="0"/>
    <n v="0"/>
    <n v="0"/>
    <n v="739.375"/>
    <n v="123.22916666666669"/>
    <n v="340.06400000000002"/>
    <n v="7.3380000000000001"/>
    <n v="288.57499999999999"/>
    <n v="560.851"/>
    <n v="1196.828"/>
    <n v="2606.366"/>
    <n v="271.5361666666667"/>
    <n v="1629.2170000000001"/>
    <n v="9.5985961354442022"/>
    <n v="1.599766022574034"/>
    <m/>
    <n v="93.203000000000003"/>
    <n v="49.09"/>
    <m/>
    <n v="48.011700189827678"/>
    <n v="10.879"/>
    <m/>
    <n v="10.640034352518542"/>
    <m/>
    <n v="76.659000000000006"/>
    <n v="76.659000000000006"/>
    <n v="70.951176250000003"/>
    <m/>
    <n v="69.392678798749685"/>
    <n v="948.524"/>
    <n v="969.827"/>
    <n v="0.9780342267229104"/>
    <n v="297.90641334109591"/>
    <n v="18.842314496132058"/>
    <n v="3.1403857493553433"/>
    <m/>
    <n v="1494.7344133410959"/>
    <n v="149.47344133410959"/>
    <n v="0.12489133052878909"/>
    <n v="9.4540616257619678"/>
    <n v="1.5756769376269946"/>
    <n v="75.698301761487613"/>
    <n v="12.616383626914603"/>
    <n v="28.440910631576259"/>
    <n v="37.894972257338225"/>
    <n v="104.13921239306387"/>
    <n v="4.7401517719293773"/>
    <n v="6.3158287095563717"/>
    <n v="17.356535398843981"/>
    <n v="4"/>
    <n v="2.8440910631576259"/>
    <n v="44.966501754053645"/>
    <n v="3.7571398525146175E-2"/>
    <n v="92.8"/>
    <m/>
    <m/>
    <m/>
    <m/>
    <m/>
    <m/>
    <m/>
    <m/>
    <m/>
    <m/>
    <m/>
    <m/>
    <m/>
    <m/>
    <m/>
    <m/>
    <m/>
    <m/>
    <m/>
    <m/>
    <m/>
    <m/>
    <m/>
    <m/>
    <m/>
    <m/>
    <m/>
    <m/>
    <m/>
    <m/>
    <m/>
    <m/>
    <m/>
    <m/>
    <m/>
    <m/>
    <m/>
    <m/>
    <m/>
    <m/>
    <m/>
    <m/>
    <m/>
    <m/>
    <m/>
    <m/>
    <m/>
    <n v="79.48"/>
    <n v="4.37"/>
    <n v="11.83"/>
    <m/>
    <m/>
    <x v="0"/>
    <m/>
    <m/>
    <m/>
    <m/>
    <m/>
    <m/>
    <m/>
    <m/>
    <m/>
  </r>
  <r>
    <x v="6"/>
    <s v="CLR"/>
    <x v="4"/>
    <n v="36.670999999999999"/>
    <n v="16.469000000000001"/>
    <n v="0"/>
    <n v="22.580833333333334"/>
    <n v="135.48500000000001"/>
    <n v="0"/>
    <n v="0"/>
    <n v="0"/>
    <n v="0"/>
    <n v="0"/>
    <n v="22.580833333333334"/>
    <n v="135.48500000000001"/>
    <n v="1"/>
    <n v="0.27066464922316119"/>
    <n v="0.72933535077683875"/>
    <n v="0"/>
    <n v="181.10900000000001"/>
    <n v="0"/>
    <n v="732.56700000000001"/>
    <n v="1819.221"/>
    <n v="473.28"/>
    <n v="303.20350000000002"/>
    <n v="78.88"/>
    <n v="0.35163502709256939"/>
    <m/>
    <n v="-158.21899999999999"/>
    <n v="447.09800000000001"/>
    <n v="2.056"/>
    <n v="0"/>
    <n v="290.935"/>
    <n v="28.606999999999999"/>
    <n v="87.465000000000003"/>
    <n v="1.746"/>
    <n v="0"/>
    <n v="117.818"/>
    <n v="0"/>
    <n v="0"/>
    <n v="0"/>
    <n v="0"/>
    <n v="0"/>
    <n v="997.84300000000007"/>
    <n v="166.30716666666666"/>
    <n v="183.24700000000001"/>
    <n v="65.314999999999998"/>
    <n v="733.09699999999998"/>
    <n v="1174.4359999999999"/>
    <n v="2156.0949999999998"/>
    <n v="3785.0329999999999"/>
    <n v="401.19066666666669"/>
    <n v="2407.1440000000002"/>
    <n v="9.4344991408906154"/>
    <n v="1.5724165234817691"/>
    <m/>
    <n v="138.23599999999999"/>
    <n v="72.816999999999993"/>
    <m/>
    <n v="71.411713107454403"/>
    <n v="16.03"/>
    <m/>
    <n v="15.720638877082196"/>
    <m/>
    <n v="144.81"/>
    <n v="144.81"/>
    <n v="69.38866625"/>
    <m/>
    <n v="68.049542375460462"/>
    <n v="1647.4190000000001"/>
    <n v="1679.8380000000002"/>
    <n v="0.98070111522658732"/>
    <n v="438.22789435999709"/>
    <n v="19.407073596043713"/>
    <n v="3.2345122660072851"/>
    <m/>
    <n v="2594.322894359997"/>
    <n v="259.43228943599973"/>
    <n v="0.12032507354082253"/>
    <n v="11.489048504380547"/>
    <n v="1.9148414173967576"/>
    <n v="95.483411447761725"/>
    <n v="15.913901907960287"/>
    <n v="28.841572736934328"/>
    <n v="40.330621241314873"/>
    <n v="124.32498418469605"/>
    <n v="4.8069287894890547"/>
    <n v="6.7217702068858127"/>
    <n v="20.720830697449344"/>
    <n v="4"/>
    <n v="2.8841572736934329"/>
    <n v="65.126674704392457"/>
    <n v="3.0205846544049526E-2"/>
    <n v="128.1"/>
    <m/>
    <m/>
    <m/>
    <m/>
    <m/>
    <m/>
    <m/>
    <m/>
    <m/>
    <m/>
    <m/>
    <m/>
    <m/>
    <m/>
    <m/>
    <m/>
    <m/>
    <m/>
    <m/>
    <m/>
    <m/>
    <m/>
    <m/>
    <m/>
    <m/>
    <m/>
    <m/>
    <m/>
    <m/>
    <m/>
    <m/>
    <m/>
    <m/>
    <m/>
    <m/>
    <m/>
    <m/>
    <m/>
    <m/>
    <m/>
    <m/>
    <m/>
    <m/>
    <m/>
    <m/>
    <m/>
    <m/>
    <n v="94.88"/>
    <n v="4"/>
    <n v="15.12"/>
    <m/>
    <m/>
    <x v="0"/>
    <m/>
    <m/>
    <m/>
    <m/>
    <m/>
    <m/>
    <m/>
    <m/>
    <m/>
  </r>
  <r>
    <x v="6"/>
    <s v="CLR"/>
    <x v="5"/>
    <n v="63.875"/>
    <n v="25.07"/>
    <n v="0"/>
    <n v="35.715833333333336"/>
    <n v="214.29500000000002"/>
    <n v="0"/>
    <n v="0"/>
    <n v="0"/>
    <n v="0"/>
    <n v="0"/>
    <n v="35.715833333333336"/>
    <n v="214.29500000000002"/>
    <n v="1"/>
    <n v="0.29807041694859887"/>
    <n v="0.70192958305140107"/>
    <n v="0"/>
    <n v="334.29300000000001"/>
    <n v="0"/>
    <n v="795.58500000000004"/>
    <n v="2801.3429999999998"/>
    <n v="982.12199999999984"/>
    <n v="466.89049999999997"/>
    <n v="163.68699999999995"/>
    <n v="0.5398585438492628"/>
    <m/>
    <n v="-174.73599999999999"/>
    <n v="400.84800000000001"/>
    <n v="89.061000000000007"/>
    <n v="0"/>
    <n v="315.173"/>
    <n v="33.271999999999998"/>
    <n v="166.84399999999999"/>
    <n v="67.149000000000001"/>
    <n v="0"/>
    <n v="267.26499999999999"/>
    <n v="0"/>
    <n v="0"/>
    <n v="0"/>
    <n v="0"/>
    <n v="0"/>
    <n v="1918.7629999999999"/>
    <n v="319.79383333333334"/>
    <n v="745.601"/>
    <n v="738.41499999999996"/>
    <n v="854.38100000000009"/>
    <n v="1974.66"/>
    <n v="4313.0569999999998"/>
    <n v="7665.98"/>
    <n v="609.33016666666663"/>
    <n v="3655.9809999999998"/>
    <n v="12.580995360752695"/>
    <n v="2.0968325601254492"/>
    <m/>
    <n v="195.44"/>
    <n v="121.735"/>
    <m/>
    <n v="119.76836765827139"/>
    <n v="0.82899999999999996"/>
    <m/>
    <n v="0.81560748173250897"/>
    <m/>
    <n v="228.43799999999999"/>
    <n v="228.43799999999999"/>
    <n v="177.1678919"/>
    <m/>
    <n v="174.30573963379538"/>
    <n v="2379.433"/>
    <n v="2418.5039999999999"/>
    <n v="0.98384497193306275"/>
    <n v="718.7677147737993"/>
    <n v="20.124623946628692"/>
    <n v="3.3541039911047821"/>
    <m/>
    <n v="5031.8247147737993"/>
    <n v="503.18247147737998"/>
    <n v="0.11666492501197642"/>
    <n v="14.088498699756316"/>
    <n v="2.3480831166260527"/>
    <n v="120.76036305093444"/>
    <n v="20.12672717515574"/>
    <n v="32.705619307381383"/>
    <n v="46.794118007137698"/>
    <n v="153.46598235831584"/>
    <n v="5.4509365512302317"/>
    <n v="7.7990196678562844"/>
    <n v="25.577663726385971"/>
    <n v="4"/>
    <n v="3.2705619307381384"/>
    <n v="116.81084482458823"/>
    <n v="2.7083074678722827E-2"/>
    <n v="92.7"/>
    <m/>
    <m/>
    <n v="62.853408800000004"/>
    <n v="14.02977875"/>
    <n v="4.4800000000000004"/>
    <n v="56.841742912499996"/>
    <n v="16.194228750000001"/>
    <n v="3.51"/>
    <n v="67.297605000000004"/>
    <n v="16.824401250000001"/>
    <n v="4"/>
    <n v="51.260993287499986"/>
    <n v="16.82659125"/>
    <n v="3.0464276766394969"/>
    <n v="238.25375"/>
    <n v="63.875"/>
    <n v="3.73"/>
    <n v="495.10722292500003"/>
    <n v="5.4659662500000001"/>
    <n v="90.58"/>
    <n v="479.8357014"/>
    <n v="5.9562524999999997"/>
    <n v="80.56"/>
    <n v="546.23294356250005"/>
    <n v="6.5914437499999998"/>
    <n v="82.87"/>
    <n v="599.49543211249966"/>
    <n v="7.0563375000000006"/>
    <n v="84.958440850157686"/>
    <n v="2120.6713"/>
    <n v="25.07"/>
    <n v="84.59"/>
    <m/>
    <m/>
    <m/>
    <m/>
    <m/>
    <m/>
    <m/>
    <m/>
    <m/>
    <m/>
    <m/>
    <m/>
    <m/>
    <m/>
    <m/>
    <n v="94.05"/>
    <n v="2.75"/>
    <n v="10.98"/>
    <n v="2.41"/>
    <n v="2.2799999999999998"/>
    <x v="1"/>
    <n v="3.4"/>
    <n v="13.14"/>
    <n v="10.75"/>
    <n v="9.9600000000000009"/>
    <n v="10.08"/>
    <n v="102.98"/>
    <n v="93.29"/>
    <n v="92.17"/>
    <n v="88.01"/>
  </r>
  <r>
    <x v="6"/>
    <s v="CLR"/>
    <x v="6"/>
    <n v="87.73"/>
    <n v="34.988999999999997"/>
    <n v="0"/>
    <n v="49.610666666666667"/>
    <n v="297.66399999999999"/>
    <n v="0"/>
    <n v="0"/>
    <n v="0"/>
    <n v="0"/>
    <n v="0"/>
    <n v="49.610666666666667"/>
    <n v="297.66399999999999"/>
    <n v="1"/>
    <n v="0.2947282842399484"/>
    <n v="0.70527171576005154"/>
    <n v="0"/>
    <n v="459.15800000000002"/>
    <n v="0"/>
    <n v="1309.0509999999999"/>
    <n v="4063.9990000000003"/>
    <n v="1262.6560000000004"/>
    <n v="677.33316666666667"/>
    <n v="210.4426666666667"/>
    <n v="0.45073238086160827"/>
    <m/>
    <n v="-241.62299999999999"/>
    <n v="1065.8699999999999"/>
    <n v="0.41899999999999998"/>
    <n v="0"/>
    <n v="824.66599999999983"/>
    <n v="-55.783000000000001"/>
    <n v="267.00900000000001"/>
    <n v="0.38800000000000001"/>
    <n v="0"/>
    <n v="211.614"/>
    <n v="0"/>
    <n v="0"/>
    <n v="0"/>
    <n v="0"/>
    <n v="0"/>
    <n v="2094.35"/>
    <n v="349.05833333333328"/>
    <n v="546.88099999999997"/>
    <n v="16.603999999999999"/>
    <n v="685.9670000000001"/>
    <n v="2543.203"/>
    <n v="3792.6550000000002"/>
    <n v="10261.807000000001"/>
    <n v="835.15933333333328"/>
    <n v="5010.9560000000001"/>
    <n v="12.287244589655149"/>
    <n v="2.0478740982758579"/>
    <m/>
    <n v="282.197"/>
    <n v="144.37899999999999"/>
    <m/>
    <n v="142.79039199199539"/>
    <n v="29.016999999999999"/>
    <m/>
    <n v="28.697724769057345"/>
    <m/>
    <n v="298.78699999999998"/>
    <n v="298.78699999999998"/>
    <n v="242.74997675"/>
    <m/>
    <n v="240.07898888467346"/>
    <n v="3606.7739999999999"/>
    <n v="3646.9009999999998"/>
    <n v="0.98899695933615972"/>
    <n v="992.55110564572624"/>
    <n v="20.00680846146782"/>
    <n v="3.3344680769113038"/>
    <m/>
    <n v="4785.206105645726"/>
    <n v="478.52061056457262"/>
    <n v="0.12617035047073161"/>
    <n v="9.6455186498449113"/>
    <n v="1.6075864416408185"/>
    <n v="76.448378036981296"/>
    <n v="12.741396339496884"/>
    <n v="32.294053051122972"/>
    <n v="41.939571700967882"/>
    <n v="108.74243108810427"/>
    <n v="5.3823421751871621"/>
    <n v="6.9899286168279806"/>
    <n v="18.123738514684046"/>
    <n v="4"/>
    <n v="3.2294053051122971"/>
    <n v="160.21295012349114"/>
    <n v="4.22429538472366E-2"/>
    <n v="152.77500000000001"/>
    <m/>
    <m/>
    <n v="96.880338525000013"/>
    <n v="19.414897500000002"/>
    <n v="4.99"/>
    <n v="113.37868709999999"/>
    <n v="21.720054999999999"/>
    <n v="5.22"/>
    <n v="117.9420895625"/>
    <n v="22.551068749999999"/>
    <n v="5.23"/>
    <n v="99.043984812500042"/>
    <n v="24.043978749999994"/>
    <n v="4.1192843265385131"/>
    <n v="427.24510000000004"/>
    <n v="87.73"/>
    <n v="4.87"/>
    <n v="706.77954771249995"/>
    <n v="7.8539787499999996"/>
    <n v="89.99"/>
    <n v="764.278005925"/>
    <n v="8.7626462499999995"/>
    <n v="87.22"/>
    <n v="900.55041829999993"/>
    <n v="9.1874149999999997"/>
    <n v="98.02"/>
    <n v="774.95279806250039"/>
    <n v="9.1849599999999967"/>
    <n v="84.371929552496766"/>
    <n v="3146.56077"/>
    <n v="34.988999999999997"/>
    <n v="89.93"/>
    <m/>
    <m/>
    <m/>
    <m/>
    <m/>
    <m/>
    <m/>
    <m/>
    <m/>
    <m/>
    <m/>
    <m/>
    <m/>
    <m/>
    <m/>
    <n v="97.98"/>
    <n v="3.73"/>
    <n v="9.94"/>
    <n v="3.49"/>
    <n v="4.01"/>
    <x v="2"/>
    <n v="3.85"/>
    <n v="9.77"/>
    <n v="9.39"/>
    <n v="10.01"/>
    <n v="10.53"/>
    <n v="94.33"/>
    <n v="94.05"/>
    <n v="105.83"/>
    <n v="97.44"/>
  </r>
  <r>
    <x v="6"/>
    <s v="CLR"/>
    <x v="7"/>
    <n v="114.295"/>
    <n v="44.53"/>
    <n v="0"/>
    <n v="63.579166666666666"/>
    <n v="381.47500000000002"/>
    <n v="0"/>
    <n v="0"/>
    <n v="0"/>
    <n v="0"/>
    <n v="0"/>
    <n v="63.579166666666666"/>
    <n v="381.47500000000002"/>
    <n v="1"/>
    <n v="0.29961334294514713"/>
    <n v="0.70038665705485292"/>
    <n v="0"/>
    <n v="524.22299999999996"/>
    <n v="0"/>
    <n v="1946.335"/>
    <n v="5091.6729999999998"/>
    <n v="1027.6739999999995"/>
    <n v="848.61216666666655"/>
    <n v="171.27899999999988"/>
    <n v="0.25287260159266756"/>
    <m/>
    <n v="-244.78299999999999"/>
    <n v="1206.569"/>
    <n v="4.4980000000000002"/>
    <n v="0"/>
    <n v="966.28399999999999"/>
    <n v="-67.150999999999996"/>
    <n v="239.52600000000001"/>
    <n v="0.85"/>
    <n v="0"/>
    <n v="173.22499999999999"/>
    <n v="0"/>
    <n v="0"/>
    <n v="0"/>
    <n v="0"/>
    <n v="0"/>
    <n v="2005.634"/>
    <n v="334.27233333333334"/>
    <n v="409.529"/>
    <n v="48.917000000000002"/>
    <n v="862.40599999999995"/>
    <n v="3651.348"/>
    <n v="4972.2"/>
    <n v="13077.912"/>
    <n v="1003.1244999999999"/>
    <n v="6018.7469999999994"/>
    <n v="13.037177339403037"/>
    <n v="2.172862889900506"/>
    <m/>
    <n v="352.47199999999998"/>
    <n v="184.655"/>
    <m/>
    <n v="182.96436241987297"/>
    <n v="53.457000000000001"/>
    <m/>
    <n v="52.96756611994882"/>
    <m/>
    <n v="349.76"/>
    <n v="349.76"/>
    <n v="262.65889241666667"/>
    <m/>
    <n v="260.25407806409481"/>
    <n v="4203.0219999999999"/>
    <n v="4241.8590000000004"/>
    <n v="0.99084434442540392"/>
    <n v="1198.4180066039166"/>
    <n v="18.849224823706663"/>
    <n v="3.1415374706177772"/>
    <m/>
    <n v="6170.618006603916"/>
    <n v="617.06180066039167"/>
    <n v="0.12410236930541646"/>
    <n v="9.7054087527684647"/>
    <n v="1.6175681254614107"/>
    <n v="78.20486270397798"/>
    <n v="13.034143783996329"/>
    <n v="31.8864021631097"/>
    <n v="41.591810915878163"/>
    <n v="110.09126486708769"/>
    <n v="5.3144003605182828"/>
    <n v="6.9319684859796933"/>
    <n v="18.348544144514612"/>
    <n v="4"/>
    <n v="3.1886402163109699"/>
    <n v="202.73108775287122"/>
    <n v="4.0772914957739277E-2"/>
    <n v="93.421000000000006"/>
    <m/>
    <m/>
    <n v="178.08891477499998"/>
    <n v="25.225058749999999"/>
    <n v="7.06"/>
    <n v="153.142303575"/>
    <n v="28.2030025"/>
    <n v="5.43"/>
    <n v="152.311187625"/>
    <n v="29.86493875"/>
    <n v="5.0999999999999996"/>
    <n v="133.65059402500015"/>
    <n v="31.002000000000002"/>
    <n v="4.3110313536223517"/>
    <n v="617.1930000000001"/>
    <n v="114.295"/>
    <n v="5.4"/>
    <n v="871.17219427500004"/>
    <n v="9.7088175000000003"/>
    <n v="89.73"/>
    <n v="980.81601978750007"/>
    <n v="10.62524125"/>
    <n v="92.31"/>
    <n v="996.86939595000013"/>
    <n v="11.660655000000002"/>
    <n v="85.49"/>
    <n v="769.6501899875002"/>
    <n v="12.535286249999993"/>
    <n v="61.398692829013029"/>
    <n v="3618.5078000000003"/>
    <n v="44.53"/>
    <n v="81.260000000000005"/>
    <m/>
    <m/>
    <m/>
    <m/>
    <m/>
    <m/>
    <m/>
    <m/>
    <m/>
    <m/>
    <m/>
    <m/>
    <m/>
    <m/>
    <m/>
    <n v="93.17"/>
    <n v="4.37"/>
    <n v="9.56"/>
    <n v="5.21"/>
    <n v="4.6100000000000003"/>
    <x v="3"/>
    <n v="3.8"/>
    <n v="11.19"/>
    <n v="10.15"/>
    <n v="9.83"/>
    <n v="7.41"/>
    <n v="98.68"/>
    <n v="103.35"/>
    <n v="97.87"/>
    <n v="73.209999999999994"/>
  </r>
  <r>
    <x v="6"/>
    <s v="CLR"/>
    <x v="8"/>
    <n v="164.45400000000001"/>
    <n v="53.517000000000003"/>
    <n v="0"/>
    <n v="80.926000000000002"/>
    <n v="485.55600000000004"/>
    <n v="0"/>
    <n v="0"/>
    <n v="0"/>
    <n v="0"/>
    <n v="0"/>
    <n v="80.926000000000002"/>
    <n v="485.55600000000004"/>
    <n v="1"/>
    <n v="0.33869213849689839"/>
    <n v="0.66130786150310161"/>
    <n v="0"/>
    <n v="373.71600000000001"/>
    <n v="0"/>
    <n v="1961.443"/>
    <n v="4203.7390000000005"/>
    <n v="-887.93399999999929"/>
    <n v="700.62316666666675"/>
    <n v="-147.98899999999981"/>
    <n v="-0.17438943938465784"/>
    <m/>
    <n v="-302.14299999999997"/>
    <n v="710.45299999999997"/>
    <n v="0"/>
    <n v="0"/>
    <n v="408.31"/>
    <n v="-246.84"/>
    <n v="134.76400000000001"/>
    <n v="0"/>
    <n v="0"/>
    <n v="-112.07599999999999"/>
    <n v="0"/>
    <n v="0"/>
    <n v="0"/>
    <n v="0"/>
    <n v="0"/>
    <n v="-264.1459999999999"/>
    <n v="-44.024333333333331"/>
    <n v="168.49199999999999"/>
    <n v="0.55700000000000005"/>
    <n v="238.22299999999998"/>
    <n v="2129.0300000000002"/>
    <n v="2536.3020000000001"/>
    <n v="11301.156999999999"/>
    <n v="639.30633333333333"/>
    <n v="3835.8380000000006"/>
    <n v="17.677217338167043"/>
    <n v="2.9462028896945069"/>
    <m/>
    <n v="348.89699999999999"/>
    <n v="189.846"/>
    <m/>
    <n v="187.16587586874422"/>
    <n v="0.03"/>
    <m/>
    <n v="2.9576479230862523E-2"/>
    <m/>
    <n v="200.637"/>
    <n v="200.637"/>
    <n v="305.54302235"/>
    <m/>
    <n v="301.22956182232463"/>
    <n v="2552.5309999999999"/>
    <n v="2589.0819999999999"/>
    <n v="0.98588264102875078"/>
    <n v="1037.9590141702997"/>
    <n v="12.826026421302174"/>
    <n v="2.1376710702170287"/>
    <m/>
    <n v="3574.2610141702999"/>
    <n v="357.42610141703"/>
    <n v="0.1409241097538976"/>
    <n v="4.4167029312832708"/>
    <n v="0.73611715521387844"/>
    <n v="31.341002891530536"/>
    <n v="5.2235004819217554"/>
    <n v="30.503243759469218"/>
    <n v="34.919946690752489"/>
    <n v="61.84424665099975"/>
    <n v="5.0838739599115357"/>
    <n v="5.819991115125414"/>
    <n v="10.307374441833291"/>
    <n v="4"/>
    <n v="3.0503243759469219"/>
    <n v="246.85055044788061"/>
    <n v="9.7326954931976004E-2"/>
    <n v="59.396999999999998"/>
    <m/>
    <m/>
    <n v="93.59934075000001"/>
    <n v="34.666422500000003"/>
    <n v="2.7"/>
    <n v="96.940749674999992"/>
    <n v="41.965692499999996"/>
    <n v="2.31"/>
    <n v="98.657658574999985"/>
    <n v="44.241102499999997"/>
    <n v="2.23"/>
    <n v="90.690991000000039"/>
    <n v="43.580782500000012"/>
    <n v="2.0809858336068201"/>
    <n v="379.88874000000004"/>
    <n v="164.45400000000001"/>
    <n v="2.31"/>
    <n v="504.95780460000003"/>
    <n v="13.09537875"/>
    <n v="38.56"/>
    <n v="681.71656630000007"/>
    <n v="13.678101250000001"/>
    <n v="49.84"/>
    <n v="524.14313900000002"/>
    <n v="13.456819999999999"/>
    <n v="38.950000000000003"/>
    <n v="456.62099010000009"/>
    <n v="13.286700000000002"/>
    <n v="34.366772042719411"/>
    <n v="2167.4385000000002"/>
    <n v="53.517000000000003"/>
    <n v="40.5"/>
    <m/>
    <m/>
    <m/>
    <m/>
    <m/>
    <m/>
    <m/>
    <m/>
    <m/>
    <m/>
    <m/>
    <m/>
    <m/>
    <m/>
    <m/>
    <n v="48.66"/>
    <n v="2.62"/>
    <n v="4.97"/>
    <n v="2.9"/>
    <n v="2.75"/>
    <x v="4"/>
    <n v="2.12"/>
    <n v="5.43"/>
    <n v="5.2"/>
    <n v="4.68"/>
    <n v="4.5999999999999996"/>
    <n v="48.49"/>
    <n v="57.85"/>
    <n v="46.64"/>
    <n v="41.94"/>
  </r>
  <r>
    <x v="6"/>
    <s v="CLR"/>
    <x v="9"/>
    <n v="195.24"/>
    <n v="46.85"/>
    <n v="0"/>
    <n v="79.39"/>
    <n v="476.34000000000003"/>
    <n v="0"/>
    <n v="0"/>
    <n v="0"/>
    <n v="0"/>
    <n v="0"/>
    <n v="79.39"/>
    <n v="476.34000000000003"/>
    <n v="1"/>
    <n v="0.40987529915606497"/>
    <n v="0.59012470084393498"/>
    <n v="0"/>
    <n v="353.01799999999997"/>
    <n v="0"/>
    <n v="2419.1979999999999"/>
    <n v="4537.3059999999996"/>
    <n v="333.5669999999991"/>
    <n v="756.21766666666667"/>
    <n v="55.594499999999925"/>
    <n v="7.9350073827133299E-2"/>
    <m/>
    <n v="-63.057000000000002"/>
    <n v="911.06200000000001"/>
    <n v="0"/>
    <n v="0"/>
    <n v="848.005"/>
    <n v="-99.965999999999994"/>
    <n v="97.587000000000003"/>
    <n v="0"/>
    <n v="0"/>
    <n v="-2.3789999999999907"/>
    <n v="0"/>
    <n v="0"/>
    <n v="0"/>
    <n v="0"/>
    <n v="0"/>
    <n v="833.73099999999999"/>
    <n v="138.95516666666668"/>
    <n v="149.96199999999999"/>
    <n v="5.008"/>
    <n v="182.35499999999999"/>
    <n v="767.14800000000002"/>
    <n v="1104.473"/>
    <n v="8612.9750000000004"/>
    <n v="429.20316666666668"/>
    <n v="2575.2190000000001"/>
    <n v="20.067361261314087"/>
    <n v="3.3445602102190146"/>
    <m/>
    <n v="289.28899999999999"/>
    <n v="169.58"/>
    <m/>
    <n v="169.07452276270351"/>
    <n v="2E-3"/>
    <m/>
    <n v="1.9940384805130734E-3"/>
    <m/>
    <n v="142.38800000000001"/>
    <n v="142.38800000000001"/>
    <n v="310"/>
    <m/>
    <n v="309.07596447952642"/>
    <n v="2020.9580000000001"/>
    <n v="2027"/>
    <n v="0.99701924025653677"/>
    <n v="909.82948128071052"/>
    <n v="11.460252944712312"/>
    <n v="1.9100421574520521"/>
    <m/>
    <n v="2014.3024812807105"/>
    <n v="201.43024812807107"/>
    <n v="0.18237679701366269"/>
    <n v="2.537224437940182"/>
    <n v="0.42287073965669703"/>
    <n v="13.911991434689506"/>
    <n v="2.3186652391149178"/>
    <n v="31.527614206026399"/>
    <n v="34.064838643966581"/>
    <n v="45.439605640715904"/>
    <n v="5.2546023676710671"/>
    <n v="5.6774731073277644"/>
    <n v="7.5732676067859845"/>
    <n v="4"/>
    <n v="3.1527614206026398"/>
    <n v="250.29772918164358"/>
    <n v="0.22662186326116038"/>
    <n v="34.851999999999997"/>
    <m/>
    <m/>
    <n v="62.794351800000001"/>
    <n v="46.172317499999998"/>
    <n v="1.36"/>
    <n v="61.881814387500008"/>
    <n v="47.238026250000004"/>
    <n v="1.31"/>
    <n v="101.26336255000001"/>
    <n v="50.130377500000002"/>
    <n v="2.02"/>
    <n v="139.1592712625"/>
    <n v="51.699278750000012"/>
    <n v="2.6917062409212038"/>
    <n v="365.09880000000004"/>
    <n v="195.24"/>
    <n v="1.87"/>
    <n v="343.75541954999994"/>
    <n v="13.365296249999998"/>
    <n v="25.72"/>
    <n v="465.9433707"/>
    <n v="12.140264999999999"/>
    <n v="38.380000000000003"/>
    <n v="399.58300357499996"/>
    <n v="10.61027625"/>
    <n v="37.659999999999997"/>
    <n v="454.36170617499988"/>
    <n v="10.734162500000005"/>
    <n v="42.328566031583705"/>
    <n v="1663.6434999999999"/>
    <n v="46.85"/>
    <n v="35.51"/>
    <m/>
    <m/>
    <m/>
    <m/>
    <m/>
    <m/>
    <m/>
    <m/>
    <m/>
    <m/>
    <m/>
    <m/>
    <m/>
    <m/>
    <m/>
    <n v="43.2"/>
    <n v="2.52"/>
    <n v="5.04"/>
    <n v="1.99"/>
    <n v="2.15"/>
    <x v="1"/>
    <n v="3.04"/>
    <n v="4.0199999999999996"/>
    <n v="5"/>
    <n v="5.04"/>
    <n v="6.05"/>
    <n v="33.35"/>
    <n v="45.46"/>
    <n v="44.85"/>
    <n v="49.14"/>
  </r>
  <r>
    <x v="7"/>
    <s v="DVN"/>
    <x v="0"/>
    <n v="635"/>
    <n v="19"/>
    <n v="22"/>
    <n v="146.83333333333331"/>
    <n v="881"/>
    <n v="227"/>
    <n v="16"/>
    <n v="4"/>
    <n v="57.833333333333336"/>
    <n v="347"/>
    <n v="204.66666666666666"/>
    <n v="1228"/>
    <n v="0.71742671009771986"/>
    <n v="0.72077185017026102"/>
    <n v="0.12939841089670831"/>
    <n v="0.14982973893303067"/>
    <n v="22"/>
    <n v="38"/>
    <n v="1400"/>
    <n v="1760"/>
    <m/>
    <n v="293.33333333333337"/>
    <m/>
    <m/>
    <m/>
    <n v="293"/>
    <n v="1133"/>
    <n v="10"/>
    <n v="0"/>
    <n v="1436"/>
    <n v="10"/>
    <n v="9"/>
    <n v="1"/>
    <n v="0"/>
    <n v="20"/>
    <n v="26"/>
    <n v="45"/>
    <n v="0"/>
    <n v="0"/>
    <n v="71"/>
    <n v="1982"/>
    <n v="330.33333333333337"/>
    <n v="156"/>
    <n v="3"/>
    <n v="569"/>
    <n v="3542"/>
    <n v="4270"/>
    <m/>
    <m/>
    <m/>
    <m/>
    <m/>
    <s v="Costs and adds include oil. Sales excluded. "/>
    <m/>
    <m/>
    <m/>
    <m/>
    <m/>
    <m/>
    <m/>
    <m/>
    <m/>
    <m/>
    <m/>
    <m/>
    <m/>
    <n v="0"/>
    <n v="0"/>
    <m/>
    <m/>
    <m/>
    <m/>
    <m/>
    <m/>
    <m/>
    <m/>
    <m/>
    <m/>
    <m/>
    <m/>
    <m/>
    <m/>
    <m/>
    <m/>
    <m/>
    <m/>
    <n v="4"/>
    <m/>
    <m/>
    <m/>
    <m/>
    <m/>
    <m/>
    <m/>
    <m/>
    <m/>
    <m/>
    <m/>
    <m/>
    <m/>
    <m/>
    <m/>
    <m/>
    <m/>
    <m/>
    <m/>
    <m/>
    <m/>
    <m/>
    <m/>
    <m/>
    <m/>
    <m/>
    <m/>
    <m/>
    <m/>
    <m/>
    <m/>
    <m/>
    <m/>
    <m/>
    <m/>
    <m/>
    <m/>
    <m/>
    <m/>
    <m/>
    <m/>
    <m/>
    <m/>
    <m/>
    <m/>
    <m/>
    <m/>
    <m/>
    <m/>
    <m/>
    <m/>
    <n v="72.34"/>
    <n v="6.97"/>
    <n v="12.91"/>
    <m/>
    <m/>
    <x v="0"/>
    <m/>
    <m/>
    <m/>
    <m/>
    <m/>
    <m/>
    <m/>
    <m/>
    <m/>
  </r>
  <r>
    <x v="7"/>
    <s v="DVN"/>
    <x v="1"/>
    <n v="726"/>
    <n v="17"/>
    <n v="24"/>
    <n v="162"/>
    <n v="972"/>
    <n v="212"/>
    <n v="22"/>
    <n v="4"/>
    <n v="61.333333333333336"/>
    <n v="368"/>
    <n v="223.33333333333334"/>
    <n v="1340"/>
    <n v="0.72537313432835826"/>
    <n v="0.74691358024691357"/>
    <n v="0.10493827160493827"/>
    <n v="0.14814814814814814"/>
    <n v="34"/>
    <n v="56"/>
    <n v="1688"/>
    <n v="2228"/>
    <n v="468"/>
    <n v="371.33333333333331"/>
    <n v="77.999999999999943"/>
    <n v="0.26590909090909071"/>
    <m/>
    <n v="-263"/>
    <n v="1966"/>
    <n v="250"/>
    <n v="0"/>
    <n v="1953"/>
    <n v="-15"/>
    <n v="12"/>
    <n v="18"/>
    <n v="0"/>
    <n v="15"/>
    <n v="-12"/>
    <n v="65"/>
    <n v="6"/>
    <n v="0"/>
    <n v="59"/>
    <n v="2397"/>
    <n v="399.5"/>
    <n v="1411"/>
    <n v="822"/>
    <n v="844"/>
    <n v="4733"/>
    <n v="7810"/>
    <m/>
    <m/>
    <m/>
    <m/>
    <m/>
    <s v="Costs and adds include oil. Sales excluded. "/>
    <m/>
    <m/>
    <m/>
    <m/>
    <m/>
    <m/>
    <m/>
    <m/>
    <m/>
    <m/>
    <m/>
    <m/>
    <m/>
    <n v="0"/>
    <n v="0"/>
    <m/>
    <m/>
    <m/>
    <m/>
    <m/>
    <m/>
    <m/>
    <m/>
    <m/>
    <m/>
    <m/>
    <m/>
    <m/>
    <m/>
    <m/>
    <m/>
    <m/>
    <m/>
    <n v="4"/>
    <m/>
    <m/>
    <m/>
    <m/>
    <m/>
    <m/>
    <m/>
    <m/>
    <m/>
    <m/>
    <m/>
    <m/>
    <m/>
    <m/>
    <m/>
    <m/>
    <m/>
    <m/>
    <m/>
    <m/>
    <m/>
    <m/>
    <m/>
    <m/>
    <m/>
    <m/>
    <m/>
    <m/>
    <m/>
    <m/>
    <m/>
    <m/>
    <m/>
    <m/>
    <m/>
    <m/>
    <m/>
    <m/>
    <m/>
    <m/>
    <m/>
    <m/>
    <m/>
    <m/>
    <m/>
    <m/>
    <m/>
    <m/>
    <m/>
    <m/>
    <m/>
    <n v="99.67"/>
    <n v="8.86"/>
    <n v="15.2"/>
    <m/>
    <m/>
    <x v="0"/>
    <m/>
    <m/>
    <m/>
    <m/>
    <m/>
    <m/>
    <m/>
    <m/>
    <m/>
  </r>
  <r>
    <x v="7"/>
    <s v="DVN"/>
    <x v="2"/>
    <n v="743"/>
    <n v="17"/>
    <n v="26"/>
    <n v="166.83333333333331"/>
    <n v="1001"/>
    <n v="223"/>
    <n v="25"/>
    <n v="4"/>
    <n v="66.166666666666657"/>
    <n v="397"/>
    <n v="232.99999999999997"/>
    <n v="1398"/>
    <n v="0.71602288984263229"/>
    <n v="0.74225774225774221"/>
    <n v="0.1018981018981019"/>
    <n v="0.15584415584415587"/>
    <n v="32"/>
    <n v="93"/>
    <n v="1837"/>
    <n v="2587"/>
    <n v="359"/>
    <n v="431.16666666666669"/>
    <n v="59.833333333333371"/>
    <n v="0.16113105924596061"/>
    <m/>
    <n v="-608"/>
    <n v="1451"/>
    <n v="1"/>
    <n v="0"/>
    <n v="844"/>
    <n v="12"/>
    <n v="11"/>
    <n v="0"/>
    <n v="0"/>
    <n v="23"/>
    <n v="26"/>
    <n v="70"/>
    <n v="0"/>
    <n v="0"/>
    <n v="96"/>
    <n v="1558"/>
    <n v="259.66666666666663"/>
    <n v="63"/>
    <n v="17"/>
    <n v="382"/>
    <n v="2548"/>
    <n v="3010"/>
    <n v="15090"/>
    <n v="989.5"/>
    <n v="5937"/>
    <n v="15.250126326427489"/>
    <n v="2.5416877210712481"/>
    <s v="Costs and adds include oil. Sales excluded. "/>
    <n v="997"/>
    <n v="0"/>
    <n v="145"/>
    <n v="145"/>
    <n v="68"/>
    <n v="0"/>
    <n v="38.901877347293407"/>
    <n v="0"/>
    <n v="258"/>
    <n v="258"/>
    <n v="437"/>
    <n v="0"/>
    <n v="250.00177059951793"/>
    <n v="6097"/>
    <n v="7631"/>
    <n v="0.57208643157784422"/>
    <n v="1688.9036479468114"/>
    <n v="10.123298589091778"/>
    <n v="1.687216431515296"/>
    <s v="Excludes asset retirement obligations and reduction of carrying value of oil and gas properties.See note 6 income taxes"/>
    <n v="4698.9036479468114"/>
    <n v="469.89036479468115"/>
    <n v="0.15610975574574124"/>
    <n v="2.8165256631049824"/>
    <n v="0.46942094385083033"/>
    <n v="18.041958041958043"/>
    <n v="3.0069930069930071"/>
    <n v="25.373424915519266"/>
    <n v="28.189950578624249"/>
    <n v="43.415382957477306"/>
    <n v="4.2289041525865443"/>
    <n v="4.6983250964373742"/>
    <n v="7.2358971595795509"/>
    <n v="4"/>
    <n v="2.5373424915519265"/>
    <n v="423.31330567391302"/>
    <n v="0.14063564972555251"/>
    <m/>
    <n v="3434"/>
    <m/>
    <m/>
    <m/>
    <m/>
    <m/>
    <m/>
    <m/>
    <m/>
    <m/>
    <m/>
    <m/>
    <m/>
    <m/>
    <m/>
    <m/>
    <m/>
    <m/>
    <m/>
    <m/>
    <m/>
    <m/>
    <m/>
    <m/>
    <m/>
    <m/>
    <m/>
    <m/>
    <m/>
    <m/>
    <m/>
    <m/>
    <m/>
    <m/>
    <m/>
    <m/>
    <m/>
    <m/>
    <m/>
    <m/>
    <m/>
    <m/>
    <m/>
    <m/>
    <m/>
    <m/>
    <m/>
    <n v="61.95"/>
    <n v="3.94"/>
    <n v="8.99"/>
    <m/>
    <m/>
    <x v="0"/>
    <m/>
    <m/>
    <m/>
    <m/>
    <m/>
    <m/>
    <m/>
    <m/>
    <m/>
  </r>
  <r>
    <x v="7"/>
    <s v="DVN"/>
    <x v="3"/>
    <n v="716"/>
    <n v="16"/>
    <n v="28"/>
    <n v="163.33333333333331"/>
    <n v="980"/>
    <n v="214"/>
    <n v="25"/>
    <n v="4"/>
    <n v="64.666666666666657"/>
    <n v="388"/>
    <n v="227.99999999999997"/>
    <n v="1368"/>
    <n v="0.716374269005848"/>
    <n v="0.73061224489795917"/>
    <n v="9.7959183673469397E-2"/>
    <n v="0.17142857142857146"/>
    <n v="17"/>
    <n v="96"/>
    <n v="1785"/>
    <n v="2463"/>
    <n v="-124"/>
    <n v="410.5"/>
    <n v="-20.666666666666686"/>
    <n v="-4.7931967529957521E-2"/>
    <m/>
    <n v="530"/>
    <n v="1095"/>
    <n v="12"/>
    <n v="0"/>
    <n v="1637"/>
    <n v="9"/>
    <n v="20"/>
    <n v="0"/>
    <n v="0"/>
    <n v="29"/>
    <n v="30"/>
    <n v="68"/>
    <n v="0"/>
    <n v="0"/>
    <n v="98"/>
    <n v="2399"/>
    <n v="399.83333333333331"/>
    <n v="594"/>
    <n v="29"/>
    <n v="428"/>
    <n v="3423"/>
    <n v="4474"/>
    <n v="15294"/>
    <n v="1059"/>
    <n v="6354"/>
    <n v="14.441926345609065"/>
    <n v="2.4069877242681774"/>
    <s v="Costs and adds include oil. Sales excluded. "/>
    <n v="892"/>
    <n v="0"/>
    <n v="133"/>
    <n v="133"/>
    <n v="955"/>
    <n v="0"/>
    <n v="544.22236763632895"/>
    <n v="0"/>
    <n v="319"/>
    <n v="319"/>
    <n v="408"/>
    <n v="0"/>
    <n v="232.50547224672485"/>
    <n v="7262"/>
    <n v="9129"/>
    <n v="0.56986635354589421"/>
    <n v="2120.727839883054"/>
    <n v="12.984047999284005"/>
    <n v="2.1640079998806674"/>
    <s v="Excludes asset retirement obligations and reduction of carrying value of oil and gas properties.See note 6 income taxes"/>
    <n v="6594.727839883054"/>
    <n v="659.47278398830542"/>
    <n v="0.14740115869206649"/>
    <n v="4.0375884733977889"/>
    <n v="0.67293141223296471"/>
    <n v="27.391836734693882"/>
    <n v="4.5653061224489795"/>
    <n v="27.425974344893071"/>
    <n v="31.46356281829086"/>
    <n v="54.817811079586953"/>
    <n v="4.5709957241488448"/>
    <n v="5.2439271363818092"/>
    <n v="9.1363018465978243"/>
    <n v="4"/>
    <n v="2.7425974344893072"/>
    <n v="447.95758096658676"/>
    <n v="0.10012462694827598"/>
    <m/>
    <n v="4078"/>
    <m/>
    <m/>
    <m/>
    <m/>
    <m/>
    <m/>
    <m/>
    <m/>
    <m/>
    <m/>
    <m/>
    <m/>
    <m/>
    <m/>
    <m/>
    <m/>
    <m/>
    <m/>
    <m/>
    <m/>
    <m/>
    <m/>
    <m/>
    <m/>
    <m/>
    <m/>
    <m/>
    <m/>
    <m/>
    <m/>
    <m/>
    <m/>
    <m/>
    <m/>
    <m/>
    <m/>
    <m/>
    <m/>
    <m/>
    <m/>
    <m/>
    <m/>
    <m/>
    <m/>
    <m/>
    <m/>
    <n v="79.48"/>
    <n v="4.37"/>
    <n v="11.83"/>
    <m/>
    <m/>
    <x v="0"/>
    <m/>
    <m/>
    <m/>
    <m/>
    <m/>
    <m/>
    <m/>
    <m/>
    <m/>
  </r>
  <r>
    <x v="7"/>
    <s v="DVN"/>
    <x v="4"/>
    <n v="740"/>
    <n v="17"/>
    <n v="33"/>
    <n v="173.33333333333331"/>
    <n v="1040"/>
    <n v="213"/>
    <n v="28"/>
    <n v="4"/>
    <n v="67.5"/>
    <n v="405"/>
    <n v="240.83333333333331"/>
    <n v="1445"/>
    <n v="0.7197231833910035"/>
    <n v="0.71153846153846156"/>
    <n v="9.8076923076923089E-2"/>
    <n v="0.1903846153846154"/>
    <n v="22"/>
    <n v="123"/>
    <n v="1550"/>
    <n v="2420"/>
    <n v="-43"/>
    <n v="403.33333333333331"/>
    <n v="-7.1666666666666856"/>
    <n v="-1.7458384084449902E-2"/>
    <m/>
    <n v="-244"/>
    <n v="1410"/>
    <n v="16"/>
    <n v="0"/>
    <n v="1182"/>
    <n v="1"/>
    <n v="36"/>
    <n v="0"/>
    <n v="0"/>
    <n v="37"/>
    <n v="5"/>
    <n v="102"/>
    <n v="2"/>
    <n v="0"/>
    <n v="109"/>
    <n v="2058"/>
    <n v="343"/>
    <n v="851"/>
    <n v="34"/>
    <n v="272"/>
    <n v="3748"/>
    <n v="4905"/>
    <n v="12389"/>
    <n v="1002.5"/>
    <n v="6015"/>
    <n v="12.358104738154614"/>
    <n v="2.059684123025769"/>
    <s v="Costs and adds include oil. Sales excluded. "/>
    <n v="925"/>
    <n v="0"/>
    <n v="132"/>
    <n v="132"/>
    <n v="-383"/>
    <n v="0"/>
    <n v="-216.96921974349132"/>
    <n v="0"/>
    <n v="357"/>
    <n v="357"/>
    <n v="414"/>
    <n v="0"/>
    <n v="234.53069705954414"/>
    <n v="8315"/>
    <n v="10564"/>
    <n v="0.56649926825976848"/>
    <n v="1431.5614773160528"/>
    <n v="8.2590085229772292"/>
    <n v="1.3765014204962045"/>
    <s v="Excludes asset retirement obligations and reduction of carrying value of oil and gas properties.See note 6 income taxes"/>
    <n v="6336.5614773160523"/>
    <n v="633.6561477316053"/>
    <n v="0.12918575896668813"/>
    <n v="3.6557085446054156"/>
    <n v="0.60928475743423582"/>
    <n v="28.298076923076927"/>
    <n v="4.7163461538461542"/>
    <n v="20.617113261131841"/>
    <n v="24.272821805737259"/>
    <n v="48.915190184208768"/>
    <n v="3.4361855435219733"/>
    <n v="4.0454703009562092"/>
    <n v="8.1525316973681274"/>
    <n v="4"/>
    <n v="2.0617113261131843"/>
    <n v="357.36329652628524"/>
    <n v="7.2856941187825736E-2"/>
    <m/>
    <n v="3982"/>
    <m/>
    <m/>
    <m/>
    <m/>
    <m/>
    <m/>
    <m/>
    <m/>
    <m/>
    <m/>
    <m/>
    <m/>
    <m/>
    <m/>
    <m/>
    <m/>
    <m/>
    <m/>
    <m/>
    <m/>
    <m/>
    <m/>
    <m/>
    <m/>
    <m/>
    <m/>
    <m/>
    <m/>
    <m/>
    <m/>
    <m/>
    <m/>
    <m/>
    <m/>
    <m/>
    <m/>
    <m/>
    <m/>
    <m/>
    <m/>
    <m/>
    <m/>
    <m/>
    <m/>
    <m/>
    <m/>
    <n v="94.88"/>
    <n v="4"/>
    <n v="15.12"/>
    <m/>
    <m/>
    <x v="0"/>
    <m/>
    <m/>
    <m/>
    <m/>
    <m/>
    <m/>
    <m/>
    <m/>
    <m/>
  </r>
  <r>
    <x v="7"/>
    <s v="DVN"/>
    <x v="5"/>
    <n v="752"/>
    <n v="21"/>
    <n v="36"/>
    <n v="182.33333333333331"/>
    <n v="1094"/>
    <n v="186"/>
    <n v="32"/>
    <n v="4"/>
    <n v="67"/>
    <n v="402"/>
    <n v="249.33333333333331"/>
    <n v="1496"/>
    <n v="0.73128342245989308"/>
    <n v="0.6873857404021938"/>
    <n v="0.11517367458866545"/>
    <n v="0.1974405850091408"/>
    <n v="39"/>
    <n v="140"/>
    <n v="1371"/>
    <n v="2445"/>
    <n v="25"/>
    <n v="407.5"/>
    <n v="4.1666666666666856"/>
    <n v="1.0330578512396741E-2"/>
    <m/>
    <n v="-1118"/>
    <n v="1124"/>
    <n v="2"/>
    <n v="0"/>
    <n v="8"/>
    <n v="-7"/>
    <n v="65"/>
    <n v="0"/>
    <n v="0"/>
    <n v="58"/>
    <n v="-32"/>
    <n v="114"/>
    <n v="0"/>
    <n v="0"/>
    <n v="82"/>
    <n v="848"/>
    <n v="141.33333333333334"/>
    <n v="1135"/>
    <n v="2"/>
    <n v="351"/>
    <n v="4013"/>
    <n v="5501"/>
    <n v="14880"/>
    <n v="884.16666666666663"/>
    <n v="5305"/>
    <n v="16.829406220546655"/>
    <n v="2.8049010367577756"/>
    <s v="Costs and adds include oil. Sales excluded. "/>
    <n v="1059"/>
    <n v="0"/>
    <n v="159"/>
    <n v="159"/>
    <n v="100"/>
    <n v="0"/>
    <n v="59.38771935576311"/>
    <n v="0"/>
    <n v="340"/>
    <n v="340"/>
    <n v="440"/>
    <n v="0"/>
    <n v="261.30596516535769"/>
    <n v="7153"/>
    <n v="8808"/>
    <n v="0.59387719355763113"/>
    <n v="1878.6936845211208"/>
    <n v="10.303621670134119"/>
    <n v="1.7172702783556864"/>
    <s v="Excludes asset retirement obligations and reduction of carrying value of oil and gas properties.See note 6 income taxes"/>
    <n v="7379.6936845211203"/>
    <n v="737.96936845211212"/>
    <n v="0.13415185756264536"/>
    <n v="4.0473639951669771"/>
    <n v="0.67456066586116281"/>
    <n v="30.170018281535651"/>
    <n v="5.0283363802559418"/>
    <n v="27.133027890680772"/>
    <n v="31.180391885847747"/>
    <n v="57.303046172216426"/>
    <n v="4.5221713151134617"/>
    <n v="5.1967319809746249"/>
    <n v="9.5505076953694044"/>
    <n v="4"/>
    <n v="2.7133027890680772"/>
    <n v="494.72554187341268"/>
    <n v="8.9933746932087374E-2"/>
    <m/>
    <n v="3308"/>
    <m/>
    <n v="570.936285"/>
    <n v="189.05175"/>
    <n v="3.02"/>
    <n v="497.634795"/>
    <n v="187.08074999999999"/>
    <n v="2.66"/>
    <n v="569.64108250000004"/>
    <n v="188.62287499999999"/>
    <n v="3.02"/>
    <n v="1249.5765875"/>
    <n v="185.31962500000012"/>
    <n v="6.7428184548722196"/>
    <n v="2887.7887500000002"/>
    <n v="750.07500000000005"/>
    <n v="3.85"/>
    <n v="440.33910249999997"/>
    <n v="4.9913749999999997"/>
    <n v="88.22"/>
    <n v="436.35421499999995"/>
    <n v="5.1191249999999995"/>
    <n v="85.24"/>
    <n v="470.01095624999999"/>
    <n v="5.374625"/>
    <n v="87.45"/>
    <n v="432.21082625000031"/>
    <n v="5.6848750000000035"/>
    <n v="76.028202247191018"/>
    <n v="1778.9151000000002"/>
    <n v="21.17"/>
    <n v="84.03"/>
    <n v="330.64702125000002"/>
    <n v="9.3166250000000002"/>
    <n v="35.49"/>
    <n v="258.03675000000004"/>
    <n v="8.2125000000000004"/>
    <n v="31.42"/>
    <n v="247.33422000000002"/>
    <n v="9.1980000000000004"/>
    <n v="26.89"/>
    <n v="264.65410875000026"/>
    <n v="9.407875000000006"/>
    <n v="28.131125121241524"/>
    <n v="1100.6721000000002"/>
    <n v="36.135000000000005"/>
    <n v="30.46"/>
    <n v="94.05"/>
    <n v="2.75"/>
    <n v="10.98"/>
    <n v="2.41"/>
    <n v="2.2799999999999998"/>
    <x v="1"/>
    <n v="3.4"/>
    <n v="13.14"/>
    <n v="10.75"/>
    <n v="9.9600000000000009"/>
    <n v="10.08"/>
    <n v="102.98"/>
    <n v="93.29"/>
    <n v="92.17"/>
    <n v="88.01"/>
  </r>
  <r>
    <x v="7"/>
    <s v="DVN"/>
    <x v="6"/>
    <n v="709"/>
    <n v="28"/>
    <n v="41"/>
    <n v="187.16666666666669"/>
    <n v="1123"/>
    <n v="165"/>
    <n v="34"/>
    <n v="4"/>
    <n v="65.5"/>
    <n v="393"/>
    <n v="252.66666666666669"/>
    <n v="1516"/>
    <n v="0.74076517150395782"/>
    <n v="0.63134461264470165"/>
    <n v="0.14959928762243987"/>
    <n v="0.21905609973285839"/>
    <n v="35"/>
    <n v="84"/>
    <n v="843"/>
    <n v="1557"/>
    <n v="-888"/>
    <n v="259.5"/>
    <n v="-148"/>
    <n v="-0.36319018404907977"/>
    <m/>
    <n v="106"/>
    <n v="471"/>
    <n v="1"/>
    <n v="0"/>
    <n v="578"/>
    <n v="-17"/>
    <n v="69"/>
    <n v="1"/>
    <n v="0"/>
    <n v="53"/>
    <n v="-42"/>
    <n v="64"/>
    <n v="0"/>
    <n v="0"/>
    <n v="22"/>
    <n v="1028"/>
    <n v="171.33333333333331"/>
    <n v="213"/>
    <n v="19"/>
    <n v="443"/>
    <n v="3428"/>
    <n v="4103"/>
    <n v="14509"/>
    <n v="655.66666666666674"/>
    <n v="3934"/>
    <n v="22.1286222674123"/>
    <n v="3.6881037112353838"/>
    <s v="Costs and adds include oil. Sales excluded. "/>
    <n v="1257"/>
    <n v="0"/>
    <n v="125"/>
    <n v="125"/>
    <n v="13"/>
    <n v="0"/>
    <n v="7.7508887693839696"/>
    <n v="0"/>
    <n v="380"/>
    <n v="380"/>
    <n v="466"/>
    <n v="0"/>
    <n v="277.83955127176387"/>
    <n v="8522"/>
    <n v="10588"/>
    <n v="0.59622221302953615"/>
    <n v="2047.5904400411478"/>
    <n v="10.939931113309783"/>
    <n v="1.8233218522182972"/>
    <s v="Excludes asset retirement obligations and reduction of carrying value of oil and gas properties.See note 6 income taxes"/>
    <n v="6150.5904400411473"/>
    <n v="615.05904400411475"/>
    <n v="0.14990471460007671"/>
    <n v="3.2861569581698022"/>
    <n v="0.54769282636163374"/>
    <n v="21.921638468388245"/>
    <n v="3.6536064113980409"/>
    <n v="33.068553380722079"/>
    <n v="36.354710338891884"/>
    <n v="54.990191849110325"/>
    <n v="5.5114255634536811"/>
    <n v="6.0591183898153149"/>
    <n v="9.1650319748517219"/>
    <n v="4"/>
    <n v="3.3068553380722081"/>
    <n v="618.93309077584831"/>
    <n v="0.15084891317958771"/>
    <m/>
    <n v="2791"/>
    <m/>
    <n v="468.11414249999996"/>
    <n v="151.49324999999999"/>
    <n v="3.09"/>
    <n v="522.130675"/>
    <n v="153.11750000000001"/>
    <n v="3.41"/>
    <n v="572.02362000000005"/>
    <n v="176.5505"/>
    <n v="3.24"/>
    <n v="741.42906249999976"/>
    <n v="227.66874999999993"/>
    <n v="3.2566132264529055"/>
    <n v="2303.6974999999998"/>
    <n v="708.82999999999993"/>
    <n v="3.25"/>
    <n v="454.10553375000001"/>
    <n v="5.7213750000000001"/>
    <n v="79.37"/>
    <n v="569.09339999999997"/>
    <n v="6.4787499999999998"/>
    <n v="87.84"/>
    <n v="642.12898749999999"/>
    <n v="7.0262500000000001"/>
    <n v="91.39"/>
    <n v="820.67247874999998"/>
    <n v="9.243624999999998"/>
    <n v="88.782537018756187"/>
    <n v="2486.0003999999999"/>
    <n v="28.47"/>
    <n v="87.32"/>
    <n v="259.62176250000005"/>
    <n v="9.2162500000000005"/>
    <n v="28.17"/>
    <n v="252.84918749999997"/>
    <n v="9.5812499999999989"/>
    <n v="26.39"/>
    <n v="263.484375"/>
    <n v="10.0375"/>
    <n v="26.25"/>
    <n v="381.62027500000011"/>
    <n v="13.505000000000004"/>
    <n v="28.257702702702701"/>
    <n v="1157.5756000000001"/>
    <n v="42.34"/>
    <n v="27.34"/>
    <n v="97.98"/>
    <n v="3.73"/>
    <n v="9.94"/>
    <n v="3.49"/>
    <n v="4.01"/>
    <x v="2"/>
    <n v="3.85"/>
    <n v="9.77"/>
    <n v="9.39"/>
    <n v="10.01"/>
    <n v="10.53"/>
    <n v="94.33"/>
    <n v="94.05"/>
    <n v="105.83"/>
    <n v="97.44"/>
  </r>
  <r>
    <x v="7"/>
    <s v="DVN"/>
    <x v="7"/>
    <n v="660"/>
    <n v="48"/>
    <n v="50"/>
    <n v="208"/>
    <n v="1248"/>
    <n v="41"/>
    <n v="10"/>
    <n v="21"/>
    <n v="37.833333333333329"/>
    <n v="227"/>
    <n v="245.83333333333331"/>
    <n v="1475"/>
    <n v="0.84610169491525422"/>
    <n v="0.52884615384615385"/>
    <n v="0.23076923076923078"/>
    <n v="0.24038461538461539"/>
    <n v="96"/>
    <n v="92"/>
    <n v="703"/>
    <n v="1831"/>
    <n v="274"/>
    <n v="305.16666666666669"/>
    <n v="45.666666666666686"/>
    <n v="0.1759794476557483"/>
    <m/>
    <n v="-108"/>
    <n v="335"/>
    <n v="457"/>
    <n v="0"/>
    <n v="684"/>
    <n v="-39"/>
    <n v="94"/>
    <n v="132"/>
    <n v="0"/>
    <n v="187"/>
    <n v="9"/>
    <n v="47"/>
    <n v="57"/>
    <n v="0"/>
    <n v="113"/>
    <n v="2484"/>
    <n v="414"/>
    <n v="1176"/>
    <n v="5210"/>
    <n v="270"/>
    <n v="4400"/>
    <n v="11056"/>
    <n v="20660"/>
    <n v="726.66666666666663"/>
    <n v="4360"/>
    <n v="28.431192660550462"/>
    <n v="4.738532110091743"/>
    <m/>
    <n v="1559"/>
    <n v="0"/>
    <n v="153"/>
    <n v="153"/>
    <n v="899"/>
    <n v="0"/>
    <n v="428.85567213702808"/>
    <n v="0"/>
    <n v="466"/>
    <n v="466"/>
    <n v="532"/>
    <n v="0"/>
    <n v="253.78333434582751"/>
    <n v="9910"/>
    <n v="17577"/>
    <n v="0.47703634275531487"/>
    <n v="2860.6390064828556"/>
    <n v="13.75307214655219"/>
    <n v="2.2921786910920319"/>
    <m/>
    <n v="13916.639006482856"/>
    <n v="1391.6639006482856"/>
    <n v="0.12587408652752222"/>
    <n v="6.6906918300398344"/>
    <n v="1.1151153050066391"/>
    <n v="53.153846153846153"/>
    <n v="8.8589743589743595"/>
    <n v="42.18426480710265"/>
    <n v="48.874956637142482"/>
    <n v="95.338110960948796"/>
    <n v="7.0307108011837744"/>
    <n v="8.1458261061904143"/>
    <n v="15.889685160158134"/>
    <n v="4"/>
    <n v="4.2184264807102654"/>
    <n v="877.43270798773517"/>
    <n v="7.9362582126242323E-2"/>
    <m/>
    <n v="2752"/>
    <m/>
    <n v="575.09171875000004"/>
    <n v="144.859375"/>
    <n v="3.97"/>
    <n v="614.9437875000001"/>
    <n v="154.12125"/>
    <n v="3.99"/>
    <n v="573.67050000000006"/>
    <n v="154.21250000000001"/>
    <n v="3.72"/>
    <n v="778.39124374999972"/>
    <n v="207.09187499999993"/>
    <n v="3.7586759198061248"/>
    <n v="2542.0972499999998"/>
    <n v="660.28499999999997"/>
    <n v="3.85"/>
    <n v="741.64350000000002"/>
    <n v="8.8968749999999996"/>
    <n v="83.36"/>
    <n v="1016.7439999999999"/>
    <n v="11.68"/>
    <n v="87.05"/>
    <n v="1064.5298"/>
    <n v="12.41"/>
    <n v="85.78"/>
    <n v="1164.3062000000009"/>
    <n v="14.463125000000007"/>
    <n v="80.501703470031572"/>
    <n v="3987.2235000000005"/>
    <n v="47.45"/>
    <n v="84.03"/>
    <n v="338.03288749999996"/>
    <n v="10.858749999999999"/>
    <n v="31.13"/>
    <n v="298.104625"/>
    <n v="11.862500000000001"/>
    <n v="25.13"/>
    <n v="326.27167500000002"/>
    <n v="12.592500000000001"/>
    <n v="25.91"/>
    <n v="283.21536250000014"/>
    <n v="14.691250000000002"/>
    <n v="19.27782608695653"/>
    <n v="1245.62455"/>
    <n v="50.005000000000003"/>
    <n v="24.91"/>
    <n v="93.17"/>
    <n v="4.37"/>
    <n v="9.56"/>
    <n v="5.21"/>
    <n v="4.6100000000000003"/>
    <x v="3"/>
    <n v="3.8"/>
    <n v="11.19"/>
    <n v="10.15"/>
    <n v="9.83"/>
    <n v="7.41"/>
    <n v="98.68"/>
    <n v="103.35"/>
    <n v="97.87"/>
    <n v="73.209999999999994"/>
  </r>
  <r>
    <x v="7"/>
    <s v="DVN"/>
    <x v="8"/>
    <n v="579"/>
    <n v="60"/>
    <n v="50"/>
    <n v="206.5"/>
    <n v="1239"/>
    <n v="8"/>
    <n v="10"/>
    <n v="31"/>
    <n v="42.333333333333336"/>
    <n v="254"/>
    <n v="248.83333333333334"/>
    <n v="1493"/>
    <n v="0.82987273945077022"/>
    <n v="0.46731234866828086"/>
    <n v="0.29055690072639223"/>
    <n v="0.24213075060532688"/>
    <n v="39"/>
    <n v="17"/>
    <n v="114"/>
    <n v="450"/>
    <n v="-1381"/>
    <n v="75"/>
    <n v="-230.16666666666669"/>
    <n v="-0.75423265974877118"/>
    <m/>
    <n v="-1415"/>
    <n v="171"/>
    <n v="17"/>
    <n v="0"/>
    <n v="-1227"/>
    <n v="-105"/>
    <n v="51"/>
    <n v="5"/>
    <n v="0"/>
    <n v="-49"/>
    <n v="-125"/>
    <n v="24"/>
    <n v="1"/>
    <n v="0"/>
    <n v="-100"/>
    <n v="-2121"/>
    <n v="-353.5"/>
    <n v="634"/>
    <n v="193"/>
    <n v="478"/>
    <n v="3269"/>
    <n v="4574"/>
    <n v="19733"/>
    <n v="231.83333333333326"/>
    <n v="1391"/>
    <n v="85.117181883537057"/>
    <n v="14.186196980589504"/>
    <m/>
    <n v="1551"/>
    <n v="0"/>
    <n v="196"/>
    <n v="196"/>
    <n v="-279"/>
    <n v="0"/>
    <n v="-98.569739626562921"/>
    <n v="0"/>
    <n v="309"/>
    <n v="309"/>
    <n v="565"/>
    <n v="0"/>
    <n v="199.61255515773496"/>
    <n v="5382"/>
    <n v="12642"/>
    <n v="0.35329655780130081"/>
    <n v="2157.042815531172"/>
    <n v="10.445727920247807"/>
    <n v="1.7409546533746343"/>
    <m/>
    <n v="6731.042815531172"/>
    <n v="673.10428155311729"/>
    <n v="0.14715878477330943"/>
    <n v="3.2595848985623115"/>
    <n v="0.54326414976038517"/>
    <n v="22.150121065375302"/>
    <n v="3.691686844229217"/>
    <n v="95.562909803784862"/>
    <n v="98.822494702347171"/>
    <n v="117.71303086916016"/>
    <n v="15.927151633964138"/>
    <n v="16.470415783724523"/>
    <n v="19.618838478193354"/>
    <n v="4"/>
    <n v="9.5562909803784866"/>
    <n v="1973.3740874481575"/>
    <n v="0.43143290062268419"/>
    <m/>
    <n v="2584"/>
    <m/>
    <n v="436.75170000000003"/>
    <n v="147.55125000000001"/>
    <n v="2.96"/>
    <n v="397.39101249999999"/>
    <n v="146.63874999999999"/>
    <n v="2.71"/>
    <n v="388.24137500000006"/>
    <n v="143.26250000000002"/>
    <n v="2.71"/>
    <n v="346.70591249999984"/>
    <n v="141.54750000000004"/>
    <n v="2.4493962274148235"/>
    <n v="1569.09"/>
    <n v="579"/>
    <n v="2.71"/>
    <n v="1077.5457000000001"/>
    <n v="15.33"/>
    <n v="70.290000000000006"/>
    <n v="1150.28655"/>
    <n v="15.694999999999999"/>
    <n v="73.290000000000006"/>
    <n v="1058.3576500000001"/>
    <n v="14.69125"/>
    <n v="72.040000000000006"/>
    <n v="1033.8101000000001"/>
    <n v="14.283750000000003"/>
    <n v="72.376658790583704"/>
    <n v="4320"/>
    <n v="60"/>
    <n v="72"/>
    <n v="119.22725000000003"/>
    <n v="12.683750000000002"/>
    <n v="9.4"/>
    <n v="126.06552500000002"/>
    <n v="12.227500000000001"/>
    <n v="10.31"/>
    <n v="107.60200000000002"/>
    <n v="12.227500000000001"/>
    <n v="8.8000000000000007"/>
    <n v="113.1052249999999"/>
    <n v="12.86125"/>
    <n v="8.7942637768490552"/>
    <n v="466"/>
    <n v="50"/>
    <n v="9.32"/>
    <n v="48.66"/>
    <n v="2.62"/>
    <n v="4.97"/>
    <n v="2.9"/>
    <n v="2.75"/>
    <x v="4"/>
    <n v="2.12"/>
    <n v="5.43"/>
    <n v="5.2"/>
    <n v="4.68"/>
    <n v="4.5999999999999996"/>
    <n v="48.49"/>
    <n v="57.85"/>
    <n v="46.64"/>
    <n v="41.94"/>
  </r>
  <r>
    <x v="7"/>
    <s v="DVN"/>
    <x v="9"/>
    <n v="510"/>
    <n v="47"/>
    <n v="42"/>
    <n v="174"/>
    <n v="1044"/>
    <n v="7"/>
    <n v="8"/>
    <n v="40"/>
    <n v="49.166666666666664"/>
    <n v="295"/>
    <n v="223.16666666666666"/>
    <n v="1339"/>
    <n v="0.77968633308439139"/>
    <n v="0.4885057471264368"/>
    <n v="0.27011494252873564"/>
    <n v="0.2413793103448276"/>
    <n v="34"/>
    <n v="38"/>
    <n v="254"/>
    <n v="686"/>
    <n v="236"/>
    <n v="114.33333333333334"/>
    <n v="39.333333333333343"/>
    <n v="0.5244444444444446"/>
    <m/>
    <n v="525"/>
    <n v="280"/>
    <n v="33"/>
    <n v="0"/>
    <n v="838"/>
    <n v="-20"/>
    <n v="36"/>
    <n v="8"/>
    <n v="0"/>
    <n v="24"/>
    <n v="35"/>
    <n v="42"/>
    <n v="7"/>
    <n v="0"/>
    <n v="84"/>
    <n v="1486"/>
    <n v="247.66666666666666"/>
    <n v="1356"/>
    <n v="237"/>
    <n v="345"/>
    <n v="1034"/>
    <n v="2972"/>
    <n v="18602"/>
    <n v="308.16666666666663"/>
    <n v="1849"/>
    <n v="60.363439697133593"/>
    <n v="10.060573282855598"/>
    <m/>
    <n v="1123"/>
    <n v="0"/>
    <n v="148"/>
    <n v="148"/>
    <n v="-159"/>
    <n v="0"/>
    <n v="-49.352029600044652"/>
    <n v="0"/>
    <n v="200"/>
    <n v="200"/>
    <n v="488"/>
    <n v="0"/>
    <n v="151.47038015611187"/>
    <n v="4182"/>
    <n v="10505"/>
    <m/>
    <n v="1573.1183505560673"/>
    <n v="9.0409100606670538"/>
    <n v="1.5068183434445088"/>
    <m/>
    <n v="4545.1183505560675"/>
    <n v="454.51183505560675"/>
    <n v="0.15293130385451101"/>
    <n v="2.6121369830781997"/>
    <n v="0.43535616384636661"/>
    <n v="106.9080459770115"/>
    <n v="17.81800766283525"/>
    <n v="69.404349757800645"/>
    <n v="72.016486740878847"/>
    <n v="176.31239573481213"/>
    <n v="11.567391626300108"/>
    <n v="12.002747790146474"/>
    <n v="29.385399289135357"/>
    <n v="4"/>
    <n v="6.9404349757800645"/>
    <n v="1207.6356857857313"/>
    <n v="0.4063377139252124"/>
    <m/>
    <n v="3437"/>
    <m/>
    <n v="239.48197499999998"/>
    <n v="144.26624999999999"/>
    <n v="1.66"/>
    <n v="228.51554999999999"/>
    <n v="139.33875"/>
    <n v="1.64"/>
    <n v="265.79300000000006"/>
    <n v="120.81500000000001"/>
    <n v="2.2000000000000002"/>
    <n v="240.30947499999996"/>
    <n v="105.57999999999997"/>
    <n v="2.2760889846561851"/>
    <n v="974.09999999999991"/>
    <n v="510"/>
    <n v="1.91"/>
    <n v="446.27819999999997"/>
    <n v="16.79"/>
    <n v="26.58"/>
    <n v="517.86199999999997"/>
    <n v="14.6"/>
    <n v="35.47"/>
    <n v="517.24879999999996"/>
    <n v="12.41"/>
    <n v="41.68"/>
    <n v="209.67100000000005"/>
    <n v="3.2000000000000011"/>
    <n v="65.522187499999987"/>
    <n v="1691.06"/>
    <n v="47"/>
    <n v="35.979999999999997"/>
    <n v="85.50855"/>
    <n v="12.501250000000001"/>
    <n v="6.84"/>
    <n v="118.22258750000002"/>
    <n v="11.953750000000001"/>
    <n v="9.89"/>
    <n v="93.951000000000008"/>
    <n v="9.49"/>
    <n v="9.9"/>
    <n v="109.71786249999992"/>
    <n v="8.0549999999999979"/>
    <n v="13.621087833643694"/>
    <n v="407.4"/>
    <n v="42"/>
    <n v="9.6999999999999993"/>
    <n v="43.2"/>
    <n v="2.52"/>
    <n v="5.04"/>
    <n v="1.99"/>
    <n v="2.15"/>
    <x v="1"/>
    <n v="3.04"/>
    <n v="4.0199999999999996"/>
    <n v="5"/>
    <n v="5.04"/>
    <n v="6.05"/>
    <n v="33.35"/>
    <n v="45.46"/>
    <n v="44.85"/>
    <n v="49.14"/>
  </r>
  <r>
    <x v="8"/>
    <s v="ECA"/>
    <x v="0"/>
    <n v="491"/>
    <n v="5.2"/>
    <n v="0"/>
    <n v="87.033333333333331"/>
    <n v="522.20000000000005"/>
    <n v="811"/>
    <n v="33"/>
    <n v="0"/>
    <n v="168.16666666666666"/>
    <n v="1009"/>
    <n v="255.2"/>
    <n v="1531.2"/>
    <n v="0.34103970741901779"/>
    <n v="0.94025277671390262"/>
    <n v="5.9747223286097287E-2"/>
    <n v="0"/>
    <n v="21.3"/>
    <n v="0"/>
    <n v="2640"/>
    <n v="2767.8"/>
    <m/>
    <n v="461.3"/>
    <m/>
    <m/>
    <m/>
    <n v="78"/>
    <n v="827"/>
    <n v="211"/>
    <n v="0"/>
    <n v="1116"/>
    <n v="3.6"/>
    <n v="5.9"/>
    <n v="0"/>
    <n v="0"/>
    <n v="9.5"/>
    <n v="0"/>
    <n v="0"/>
    <n v="0"/>
    <n v="0"/>
    <n v="0"/>
    <n v="1173"/>
    <n v="195.5"/>
    <n v="1048"/>
    <n v="1565"/>
    <n v="48"/>
    <n v="1887"/>
    <n v="4548"/>
    <m/>
    <m/>
    <m/>
    <m/>
    <m/>
    <s v="Costs and adds include oil. Sales excluded. "/>
    <m/>
    <m/>
    <m/>
    <m/>
    <m/>
    <m/>
    <m/>
    <m/>
    <m/>
    <m/>
    <m/>
    <m/>
    <m/>
    <n v="0"/>
    <n v="0"/>
    <m/>
    <m/>
    <m/>
    <m/>
    <m/>
    <m/>
    <m/>
    <m/>
    <m/>
    <m/>
    <m/>
    <m/>
    <m/>
    <m/>
    <m/>
    <m/>
    <m/>
    <m/>
    <n v="4"/>
    <m/>
    <m/>
    <m/>
    <m/>
    <m/>
    <m/>
    <m/>
    <m/>
    <m/>
    <m/>
    <m/>
    <m/>
    <m/>
    <m/>
    <m/>
    <m/>
    <m/>
    <m/>
    <m/>
    <m/>
    <m/>
    <m/>
    <m/>
    <m/>
    <m/>
    <m/>
    <m/>
    <m/>
    <m/>
    <m/>
    <m/>
    <m/>
    <m/>
    <m/>
    <m/>
    <m/>
    <m/>
    <m/>
    <m/>
    <m/>
    <m/>
    <m/>
    <m/>
    <m/>
    <m/>
    <m/>
    <m/>
    <m/>
    <m/>
    <m/>
    <m/>
    <n v="72.34"/>
    <n v="6.97"/>
    <n v="12.91"/>
    <m/>
    <m/>
    <x v="0"/>
    <m/>
    <m/>
    <m/>
    <m/>
    <m/>
    <m/>
    <m/>
    <m/>
    <m/>
  </r>
  <r>
    <x v="8"/>
    <s v="ECA"/>
    <x v="1"/>
    <n v="598"/>
    <n v="4.9000000000000004"/>
    <n v="0"/>
    <n v="104.56666666666668"/>
    <n v="627.4"/>
    <n v="807"/>
    <n v="32"/>
    <n v="0"/>
    <n v="166.5"/>
    <n v="999"/>
    <n v="271.06666666666666"/>
    <n v="1626.4"/>
    <n v="0.38575996064928675"/>
    <n v="0.95313994262033797"/>
    <n v="4.6860057379662097E-2"/>
    <n v="0"/>
    <n v="17.7"/>
    <n v="0"/>
    <n v="2111"/>
    <n v="2217.1999999999998"/>
    <n v="-550.60000000000036"/>
    <n v="369.5333333333333"/>
    <n v="-91.766666666666708"/>
    <n v="-0.19893055856637049"/>
    <m/>
    <n v="-166"/>
    <n v="655"/>
    <n v="7"/>
    <n v="0"/>
    <n v="496"/>
    <n v="-3.6"/>
    <n v="3.8"/>
    <n v="0"/>
    <n v="0"/>
    <n v="0.19999999999999973"/>
    <n v="0"/>
    <n v="0"/>
    <n v="0"/>
    <n v="0"/>
    <n v="0"/>
    <n v="497.2"/>
    <n v="82.866666666666674"/>
    <n v="1006"/>
    <n v="17"/>
    <n v="197"/>
    <n v="2485"/>
    <n v="3705"/>
    <m/>
    <m/>
    <m/>
    <m/>
    <m/>
    <s v="Costs and adds include oil. Sales excluded. "/>
    <m/>
    <m/>
    <m/>
    <m/>
    <m/>
    <m/>
    <m/>
    <m/>
    <m/>
    <m/>
    <m/>
    <m/>
    <m/>
    <n v="0"/>
    <n v="0"/>
    <m/>
    <m/>
    <m/>
    <m/>
    <m/>
    <m/>
    <m/>
    <m/>
    <m/>
    <m/>
    <m/>
    <m/>
    <m/>
    <m/>
    <m/>
    <m/>
    <m/>
    <m/>
    <n v="4"/>
    <m/>
    <m/>
    <m/>
    <m/>
    <m/>
    <m/>
    <m/>
    <m/>
    <m/>
    <m/>
    <m/>
    <m/>
    <m/>
    <m/>
    <m/>
    <m/>
    <m/>
    <m/>
    <m/>
    <m/>
    <m/>
    <m/>
    <m/>
    <m/>
    <m/>
    <m/>
    <m/>
    <m/>
    <m/>
    <m/>
    <m/>
    <m/>
    <m/>
    <m/>
    <m/>
    <m/>
    <m/>
    <m/>
    <m/>
    <m/>
    <m/>
    <m/>
    <m/>
    <m/>
    <m/>
    <m/>
    <m/>
    <m/>
    <m/>
    <m/>
    <m/>
    <n v="99.67"/>
    <n v="8.86"/>
    <n v="15.2"/>
    <m/>
    <m/>
    <x v="0"/>
    <m/>
    <m/>
    <m/>
    <m/>
    <m/>
    <m/>
    <m/>
    <m/>
    <m/>
  </r>
  <r>
    <x v="8"/>
    <s v="ECA"/>
    <x v="2"/>
    <n v="590"/>
    <n v="4.0999999999999996"/>
    <n v="0"/>
    <n v="102.43333333333332"/>
    <n v="614.6"/>
    <n v="725"/>
    <n v="27.2"/>
    <n v="0"/>
    <n v="148.03333333333333"/>
    <n v="888.2"/>
    <n v="250.46666666666664"/>
    <n v="1502.8000000000002"/>
    <n v="0.40896992281075323"/>
    <n v="0.95997396680767977"/>
    <n v="4.0026033192320211E-2"/>
    <n v="0"/>
    <n v="15.4"/>
    <n v="0"/>
    <n v="2142"/>
    <n v="2234.4"/>
    <n v="17.200000000000273"/>
    <n v="372.4"/>
    <n v="2.8666666666666742"/>
    <n v="7.7575320223705786E-3"/>
    <m/>
    <n v="-845"/>
    <n v="1406"/>
    <n v="0"/>
    <n v="0"/>
    <n v="561"/>
    <n v="-12.6"/>
    <n v="6.5"/>
    <n v="0"/>
    <n v="0"/>
    <n v="-6.1"/>
    <n v="0"/>
    <n v="0"/>
    <n v="0"/>
    <n v="0"/>
    <n v="0"/>
    <n v="524.4"/>
    <n v="87.4"/>
    <n v="46"/>
    <n v="0"/>
    <n v="133"/>
    <n v="1688"/>
    <n v="1867"/>
    <n v="10120"/>
    <n v="365.76666666666665"/>
    <n v="2194.6"/>
    <n v="27.667912147999637"/>
    <n v="4.6113186913332731"/>
    <s v="Costs and adds include oil. Sales excluded. "/>
    <n v="964"/>
    <n v="477"/>
    <n v="0"/>
    <n v="195.0786531807293"/>
    <n v="766"/>
    <n v="0"/>
    <n v="313.27096087303704"/>
    <n v="0"/>
    <n v="118"/>
    <n v="118"/>
    <n v="533"/>
    <n v="0"/>
    <n v="217.98096885813149"/>
    <n v="12122"/>
    <n v="12122"/>
    <n v="0.40896992281075328"/>
    <n v="1808.3305829118979"/>
    <n v="17.653731691297409"/>
    <n v="2.9422886152162344"/>
    <s v="Excludes asset retirement obligations accretions"/>
    <n v="3675.3305829118981"/>
    <n v="367.53305829118983"/>
    <n v="0.19685755666373317"/>
    <n v="3.588022046448323"/>
    <n v="0.59800367440805369"/>
    <n v="18.226488773185814"/>
    <n v="3.037748128864302"/>
    <n v="45.321643839297046"/>
    <n v="48.909665885745369"/>
    <n v="63.54813261248286"/>
    <n v="7.5536073065495071"/>
    <n v="8.1516109809575603"/>
    <n v="10.59135543541381"/>
    <n v="4"/>
    <n v="4.5321643839297048"/>
    <n v="464.24470506053274"/>
    <n v="0.24865811733290452"/>
    <m/>
    <n v="1146"/>
    <m/>
    <m/>
    <m/>
    <m/>
    <m/>
    <m/>
    <m/>
    <m/>
    <m/>
    <m/>
    <m/>
    <m/>
    <m/>
    <m/>
    <m/>
    <m/>
    <m/>
    <m/>
    <m/>
    <m/>
    <m/>
    <m/>
    <m/>
    <m/>
    <m/>
    <m/>
    <m/>
    <m/>
    <m/>
    <m/>
    <m/>
    <m/>
    <m/>
    <m/>
    <m/>
    <m/>
    <m/>
    <m/>
    <m/>
    <m/>
    <m/>
    <m/>
    <m/>
    <m/>
    <m/>
    <m/>
    <n v="61.95"/>
    <n v="3.94"/>
    <n v="8.99"/>
    <m/>
    <m/>
    <x v="0"/>
    <m/>
    <m/>
    <m/>
    <m/>
    <m/>
    <m/>
    <m/>
    <m/>
    <m/>
  </r>
  <r>
    <x v="8"/>
    <s v="ECA"/>
    <x v="3"/>
    <n v="679"/>
    <n v="3.5"/>
    <n v="0"/>
    <n v="116.66666666666667"/>
    <n v="700"/>
    <n v="483"/>
    <n v="4.8"/>
    <n v="0"/>
    <n v="85.3"/>
    <n v="511.8"/>
    <n v="201.96666666666667"/>
    <n v="1211.8"/>
    <n v="0.57765307806568744"/>
    <n v="0.97"/>
    <n v="0.03"/>
    <n v="0"/>
    <n v="14.2"/>
    <n v="0"/>
    <n v="3505"/>
    <n v="3590.2"/>
    <n v="1355.7999999999997"/>
    <n v="598.36666666666667"/>
    <n v="225.9666666666667"/>
    <n v="0.60678481919083438"/>
    <m/>
    <n v="517"/>
    <n v="1808"/>
    <n v="81"/>
    <n v="0"/>
    <n v="2406"/>
    <n v="0.2"/>
    <n v="4.7"/>
    <n v="0.5"/>
    <n v="0"/>
    <n v="5.4"/>
    <n v="0"/>
    <n v="0"/>
    <n v="0"/>
    <n v="0"/>
    <n v="0"/>
    <n v="2438.4"/>
    <n v="406.4"/>
    <n v="97"/>
    <n v="44"/>
    <n v="198"/>
    <n v="2301"/>
    <n v="2640"/>
    <n v="8212"/>
    <n v="576.66666666666663"/>
    <n v="3460"/>
    <n v="14.240462427745666"/>
    <n v="2.3734104046242774"/>
    <s v="Costs and adds include oil. Sales excluded. "/>
    <n v="1130"/>
    <n v="361"/>
    <n v="0"/>
    <n v="208.53276118171317"/>
    <n v="2024"/>
    <n v="0"/>
    <n v="1169.1698300049513"/>
    <n v="0"/>
    <n v="209"/>
    <n v="209"/>
    <n v="485"/>
    <n v="0"/>
    <n v="280.16174286185839"/>
    <n v="7104"/>
    <n v="7104"/>
    <n v="0.57765307806568744"/>
    <n v="2996.8643340485228"/>
    <n v="25.687408577558767"/>
    <n v="4.2812347629264611"/>
    <s v="Excludes asset retirement obligations accretions"/>
    <n v="5636.8643340485232"/>
    <n v="563.68643340485232"/>
    <n v="0.21351758841092891"/>
    <n v="4.8315980006130195"/>
    <n v="0.80526633343550336"/>
    <n v="22.628571428571426"/>
    <n v="3.7714285714285714"/>
    <n v="39.927871005304432"/>
    <n v="44.759469005917452"/>
    <n v="62.556442433875858"/>
    <n v="6.6546451675507381"/>
    <n v="7.4599115009862418"/>
    <n v="10.426073738979309"/>
    <n v="4"/>
    <n v="3.9927871005304434"/>
    <n v="465.82516172855173"/>
    <n v="0.1764489248971787"/>
    <m/>
    <n v="1044"/>
    <m/>
    <m/>
    <m/>
    <m/>
    <m/>
    <m/>
    <m/>
    <m/>
    <m/>
    <m/>
    <m/>
    <m/>
    <m/>
    <m/>
    <m/>
    <m/>
    <m/>
    <m/>
    <m/>
    <m/>
    <m/>
    <m/>
    <m/>
    <m/>
    <m/>
    <m/>
    <m/>
    <m/>
    <m/>
    <m/>
    <m/>
    <m/>
    <m/>
    <m/>
    <m/>
    <m/>
    <m/>
    <m/>
    <m/>
    <m/>
    <m/>
    <m/>
    <m/>
    <m/>
    <m/>
    <m/>
    <n v="79.48"/>
    <n v="4.37"/>
    <n v="11.83"/>
    <m/>
    <m/>
    <x v="0"/>
    <m/>
    <m/>
    <m/>
    <m/>
    <m/>
    <m/>
    <m/>
    <m/>
    <m/>
  </r>
  <r>
    <x v="8"/>
    <s v="ECA"/>
    <x v="4"/>
    <n v="685"/>
    <n v="3.5"/>
    <n v="0"/>
    <n v="117.66666666666667"/>
    <n v="706"/>
    <n v="531"/>
    <n v="5.3"/>
    <n v="0"/>
    <n v="93.8"/>
    <n v="562.79999999999995"/>
    <n v="211.46666666666667"/>
    <n v="1268.8"/>
    <n v="0.55643127364438838"/>
    <n v="0.97025495750708213"/>
    <n v="2.9745042492917845E-2"/>
    <n v="0"/>
    <n v="13.8"/>
    <n v="0"/>
    <n v="3225"/>
    <n v="3307.8"/>
    <n v="-282.39999999999964"/>
    <n v="551.29999999999995"/>
    <n v="-47.06666666666672"/>
    <n v="-7.8658570553172616E-2"/>
    <m/>
    <n v="-204"/>
    <n v="1121"/>
    <n v="23"/>
    <n v="0"/>
    <n v="940"/>
    <n v="-0.7"/>
    <n v="5.4"/>
    <n v="0.3"/>
    <n v="0"/>
    <n v="5"/>
    <n v="0"/>
    <n v="0"/>
    <n v="0"/>
    <n v="0"/>
    <n v="0"/>
    <n v="970"/>
    <n v="161.66666666666666"/>
    <n v="53"/>
    <n v="52"/>
    <n v="181"/>
    <n v="2242"/>
    <n v="2528"/>
    <n v="7035"/>
    <n v="655.46666666666658"/>
    <n v="3932.8"/>
    <n v="10.732811228641173"/>
    <n v="1.7888018714401952"/>
    <s v="Costs and adds include oil. Sales excluded. "/>
    <n v="1172"/>
    <n v="350"/>
    <n v="0"/>
    <n v="194.75094577553594"/>
    <n v="-88"/>
    <n v="0"/>
    <n v="-48.965952080706174"/>
    <n v="0"/>
    <n v="183"/>
    <n v="183"/>
    <n v="488"/>
    <n v="0"/>
    <n v="271.53846153846155"/>
    <n v="6894"/>
    <n v="6894"/>
    <n v="0.55643127364438838"/>
    <n v="1772.3234552332913"/>
    <n v="15.062238996316923"/>
    <n v="2.5103731660528203"/>
    <s v="Excludes asset retirement obligations accretions"/>
    <n v="4300.3234552332915"/>
    <n v="430.03234552332918"/>
    <n v="0.17010773161524098"/>
    <n v="3.6546658259773017"/>
    <n v="0.60911097099621703"/>
    <n v="21.48441926345609"/>
    <n v="3.5807365439093486"/>
    <n v="25.795050224958096"/>
    <n v="29.449716050935397"/>
    <n v="47.279469488414186"/>
    <n v="4.2991750374930158"/>
    <n v="4.9082860084892328"/>
    <n v="7.8799115814023644"/>
    <n v="4"/>
    <n v="2.5795050224958098"/>
    <n v="303.52175764700695"/>
    <n v="0.12006398641099958"/>
    <m/>
    <n v="458"/>
    <m/>
    <m/>
    <m/>
    <m/>
    <m/>
    <m/>
    <m/>
    <m/>
    <m/>
    <m/>
    <m/>
    <m/>
    <m/>
    <m/>
    <m/>
    <m/>
    <m/>
    <m/>
    <m/>
    <m/>
    <m/>
    <m/>
    <m/>
    <m/>
    <m/>
    <m/>
    <m/>
    <m/>
    <m/>
    <m/>
    <m/>
    <m/>
    <m/>
    <m/>
    <m/>
    <m/>
    <m/>
    <m/>
    <m/>
    <m/>
    <m/>
    <m/>
    <m/>
    <m/>
    <m/>
    <m/>
    <n v="94.88"/>
    <n v="4"/>
    <n v="15.12"/>
    <m/>
    <m/>
    <x v="0"/>
    <m/>
    <m/>
    <m/>
    <m/>
    <m/>
    <m/>
    <m/>
    <m/>
    <m/>
  </r>
  <r>
    <x v="8"/>
    <s v="ECA"/>
    <x v="5"/>
    <n v="593"/>
    <n v="3.8"/>
    <n v="0.4"/>
    <n v="103.03333333333333"/>
    <n v="618.19999999999993"/>
    <n v="497"/>
    <n v="2.6"/>
    <n v="4.5"/>
    <n v="89.933333333333323"/>
    <n v="539.6"/>
    <n v="192.96666666666664"/>
    <n v="1157.8"/>
    <n v="0.53394368630160649"/>
    <n v="0.95923649304432235"/>
    <n v="3.6881268197994178E-2"/>
    <n v="3.8822387576835978E-3"/>
    <n v="65.3"/>
    <n v="0"/>
    <n v="1614"/>
    <n v="2005.8"/>
    <n v="-1302.0000000000002"/>
    <n v="334.3"/>
    <n v="-216.99999999999994"/>
    <n v="-0.39361509160166869"/>
    <m/>
    <n v="-1701"/>
    <n v="338"/>
    <n v="8"/>
    <n v="0"/>
    <n v="-1355"/>
    <n v="38.9"/>
    <n v="39.200000000000003"/>
    <n v="0.1"/>
    <n v="0"/>
    <n v="78.199999999999989"/>
    <n v="0"/>
    <n v="0"/>
    <n v="0"/>
    <n v="0"/>
    <n v="0"/>
    <n v="-885.80000000000007"/>
    <n v="-147.63333333333335"/>
    <n v="235"/>
    <n v="5"/>
    <n v="633"/>
    <n v="1094"/>
    <n v="1967"/>
    <n v="7135"/>
    <n v="420.43333333333328"/>
    <n v="2522.6"/>
    <n v="16.970585903432969"/>
    <n v="2.8284309839054944"/>
    <s v="Costs and adds include oil. Sales excluded. "/>
    <n v="1029"/>
    <n v="392"/>
    <n v="0"/>
    <n v="209.30592503022973"/>
    <n v="-124"/>
    <n v="0"/>
    <n v="-66.209017101399212"/>
    <n v="0"/>
    <n v="96"/>
    <n v="96"/>
    <n v="474"/>
    <n v="0"/>
    <n v="253.08930730696147"/>
    <n v="6125"/>
    <n v="6125"/>
    <n v="0.53394368630160649"/>
    <n v="1521.1862152357919"/>
    <n v="14.764020206106036"/>
    <n v="2.4606700343510064"/>
    <s v="Excludes asset retirement obligations accretions"/>
    <n v="3488.1862152357917"/>
    <n v="348.81862152357917"/>
    <n v="0.17733534393674588"/>
    <n v="3.3854929297015124"/>
    <n v="0.56424882161691881"/>
    <n v="19.09090909090909"/>
    <n v="3.1818181818181821"/>
    <n v="31.734606109539005"/>
    <n v="35.120099039240515"/>
    <n v="50.825515200448095"/>
    <n v="5.2891010182565008"/>
    <n v="5.8533498398734194"/>
    <n v="8.4709192000746825"/>
    <n v="4"/>
    <n v="3.1734606109539003"/>
    <n v="326.97222494861688"/>
    <n v="0.16622888914520431"/>
    <m/>
    <n v="579"/>
    <m/>
    <n v="743.48857499999997"/>
    <n v="162.33374999999998"/>
    <n v="4.58"/>
    <n v="684.04193750000002"/>
    <n v="142.80625000000001"/>
    <n v="4.79"/>
    <n v="719.54822500000012"/>
    <n v="146.54750000000001"/>
    <n v="4.91"/>
    <n v="711.18126250000012"/>
    <n v="141.3125"/>
    <n v="5.0326847412649283"/>
    <n v="2858.26"/>
    <n v="593"/>
    <n v="4.82"/>
    <n v="77.256312797619032"/>
    <n v="0.83385119047619027"/>
    <n v="92.65"/>
    <n v="51.743531075581387"/>
    <n v="0.61148110465116268"/>
    <n v="84.62"/>
    <n v="81.279190714285733"/>
    <n v="1.015482142857143"/>
    <n v="80.040000000000006"/>
    <n v="109.14896541251385"/>
    <n v="1.3391855620155038"/>
    <n v="81.503989072464492"/>
    <n v="319.428"/>
    <n v="3.8"/>
    <n v="84.06"/>
    <n v="6.3460464285714275"/>
    <n v="8.7773809523809518E-2"/>
    <n v="72.3"/>
    <n v="7.1569895238095231"/>
    <n v="9.8202380952380944E-2"/>
    <n v="72.88"/>
    <n v="6.5568078571428581"/>
    <n v="0.10689285714285715"/>
    <n v="61.34"/>
    <n v="5.2881561904761911"/>
    <n v="0.10713095238095245"/>
    <n v="49.361609067674159"/>
    <n v="25.347999999999999"/>
    <n v="0.4"/>
    <n v="63.37"/>
    <n v="94.05"/>
    <n v="2.75"/>
    <n v="10.98"/>
    <n v="2.41"/>
    <n v="2.2799999999999998"/>
    <x v="1"/>
    <n v="3.4"/>
    <n v="13.14"/>
    <n v="10.75"/>
    <n v="9.9600000000000009"/>
    <n v="10.08"/>
    <n v="102.98"/>
    <n v="93.29"/>
    <n v="92.17"/>
    <n v="88.01"/>
  </r>
  <r>
    <x v="8"/>
    <s v="ECA"/>
    <x v="6"/>
    <n v="491"/>
    <n v="5.0999999999999996"/>
    <n v="3.5"/>
    <n v="90.433333333333323"/>
    <n v="542.6"/>
    <n v="523"/>
    <n v="4.3"/>
    <n v="6.8"/>
    <n v="98.266666666666666"/>
    <n v="589.59999999999991"/>
    <n v="188.7"/>
    <n v="1132.1999999999998"/>
    <n v="0.47924394983218521"/>
    <n v="0.90490232215259858"/>
    <n v="5.6395134537412461E-2"/>
    <n v="3.8702543309988943E-2"/>
    <n v="23.4"/>
    <n v="32"/>
    <n v="1258"/>
    <n v="1590.4"/>
    <n v="-415.39999999999986"/>
    <n v="265.06666666666666"/>
    <n v="-69.233333333333348"/>
    <n v="-0.20709941170605248"/>
    <m/>
    <n v="-362"/>
    <n v="482"/>
    <n v="7"/>
    <n v="0"/>
    <n v="127"/>
    <n v="-17.3"/>
    <n v="27.6"/>
    <n v="0.6"/>
    <n v="0"/>
    <n v="10.9"/>
    <n v="0"/>
    <n v="0"/>
    <n v="0"/>
    <n v="0"/>
    <n v="0"/>
    <n v="192.4"/>
    <n v="32.06666666666667"/>
    <n v="111"/>
    <n v="45"/>
    <n v="412"/>
    <n v="871"/>
    <n v="1439"/>
    <n v="5934"/>
    <n v="46.099999999999973"/>
    <n v="276.59999999999991"/>
    <n v="128.72017353579184"/>
    <n v="21.453362255965299"/>
    <s v="Costs and adds include oil. Sales excluded. "/>
    <n v="1139"/>
    <n v="439"/>
    <n v="0"/>
    <n v="210.38809397632932"/>
    <n v="-186"/>
    <n v="0"/>
    <n v="-89.139374668786445"/>
    <n v="0"/>
    <n v="113"/>
    <n v="113"/>
    <n v="460"/>
    <n v="0"/>
    <n v="220.45221692280521"/>
    <n v="5726"/>
    <n v="5726"/>
    <n v="0.47924394983218521"/>
    <n v="1593.7009362303479"/>
    <n v="17.622937002178563"/>
    <n v="2.9371561670297601"/>
    <s v="Excludes asset retirement obligations accretions"/>
    <n v="3032.7009362303479"/>
    <n v="303.27009362303482"/>
    <n v="0.21075058625645227"/>
    <n v="3.3535211237342595"/>
    <n v="0.55892018728904314"/>
    <n v="15.912274235164027"/>
    <n v="2.6520457058606706"/>
    <n v="146.3431105379704"/>
    <n v="149.69663166170466"/>
    <n v="162.25538477313444"/>
    <n v="24.390518422995058"/>
    <n v="24.949438610284101"/>
    <n v="27.04256412885573"/>
    <n v="4"/>
    <n v="14.63431105379704"/>
    <n v="1323.4295296317121"/>
    <n v="0.91968695596366368"/>
    <m/>
    <n v="470"/>
    <m/>
    <n v="512.48737500000004"/>
    <n v="132.76875000000001"/>
    <n v="3.86"/>
    <n v="533.47852499999999"/>
    <n v="127.93249999999999"/>
    <n v="4.17"/>
    <n v="477.78499999999997"/>
    <n v="119.44624999999999"/>
    <n v="4"/>
    <n v="484.43909999999994"/>
    <n v="110.85249999999999"/>
    <n v="4.3701233621253461"/>
    <n v="2008.1899999999998"/>
    <n v="491"/>
    <n v="4.09"/>
    <n v="94.662956904069759"/>
    <n v="1.0552107558139534"/>
    <n v="89.71"/>
    <n v="103.1742868604651"/>
    <n v="1.1688488372093022"/>
    <n v="88.27"/>
    <n v="124.28045005813952"/>
    <n v="1.3744796511627906"/>
    <n v="90.42"/>
    <n v="127.65130617732557"/>
    <n v="1.5014607558139534"/>
    <n v="85.018077018020236"/>
    <n v="449.76899999999995"/>
    <n v="5.0999999999999996"/>
    <n v="88.19"/>
    <n v="37.830340116279075"/>
    <n v="0.72416424418604652"/>
    <n v="52.24"/>
    <n v="39.810762209302332"/>
    <n v="0.80215116279069776"/>
    <n v="49.63"/>
    <n v="43.720580668604647"/>
    <n v="0.94327034883720917"/>
    <n v="46.35"/>
    <n v="49.963317005813963"/>
    <n v="1.0304142441860469"/>
    <n v="48.488573685509742"/>
    <n v="171.32500000000002"/>
    <n v="3.5"/>
    <n v="48.95"/>
    <n v="97.98"/>
    <n v="3.73"/>
    <n v="9.94"/>
    <n v="3.49"/>
    <n v="4.01"/>
    <x v="2"/>
    <n v="3.85"/>
    <n v="9.77"/>
    <n v="9.39"/>
    <n v="10.01"/>
    <n v="10.53"/>
    <n v="94.33"/>
    <n v="94.05"/>
    <n v="105.83"/>
    <n v="97.44"/>
  </r>
  <r>
    <x v="8"/>
    <s v="ECA"/>
    <x v="7"/>
    <n v="355"/>
    <n v="13.1"/>
    <n v="5"/>
    <n v="77.266666666666666"/>
    <n v="463.6"/>
    <n v="503"/>
    <n v="5"/>
    <n v="8.6"/>
    <n v="97.433333333333323"/>
    <n v="584.6"/>
    <n v="174.7"/>
    <n v="1048.2"/>
    <n v="0.44228200725052469"/>
    <n v="0.76574633304572903"/>
    <n v="0.16954270923209663"/>
    <n v="6.4710957722174292E-2"/>
    <n v="81.8"/>
    <n v="36.799999999999997"/>
    <n v="660"/>
    <n v="1371.6"/>
    <n v="-218.80000000000018"/>
    <n v="228.6"/>
    <n v="-36.466666666666669"/>
    <n v="-0.13757545271629779"/>
    <m/>
    <n v="-511"/>
    <n v="493"/>
    <n v="234"/>
    <n v="0"/>
    <n v="216"/>
    <n v="-2.7"/>
    <n v="21.4"/>
    <n v="148.19999999999999"/>
    <n v="0"/>
    <n v="166.89999999999998"/>
    <n v="-2.6"/>
    <n v="8.8000000000000007"/>
    <n v="52.9"/>
    <n v="0"/>
    <n v="59.1"/>
    <n v="1572"/>
    <n v="262"/>
    <n v="5452"/>
    <n v="5008"/>
    <n v="38"/>
    <n v="1247"/>
    <n v="11745"/>
    <n v="15151"/>
    <n v="146.43333333333331"/>
    <n v="878.59999999999991"/>
    <n v="103.4668791258821"/>
    <n v="17.244479854313681"/>
    <s v=" In 2014, Unproved includes $5,338 million from the acquisition of Athlon._x000a_ In 2014, Unproved includes $5,338 million from the acquisition of Athlon._x000a_2014, Unproved includes $5,338 million and Proved includes $2,127 million from the acquisition of Athlon"/>
    <n v="984"/>
    <n v="327"/>
    <n v="0"/>
    <n v="144.62621637092158"/>
    <n v="43"/>
    <n v="0"/>
    <n v="19.018126311772562"/>
    <n v="0"/>
    <n v="146"/>
    <n v="146"/>
    <n v="509"/>
    <n v="0"/>
    <n v="225.12154169051706"/>
    <n v="6212"/>
    <n v="6212"/>
    <n v="0.44228200725052469"/>
    <n v="1518.7658843732111"/>
    <n v="19.656158986711102"/>
    <n v="3.2760264977851832"/>
    <m/>
    <n v="13263.765884373212"/>
    <n v="1326.3765884373213"/>
    <n v="0.11293116972646414"/>
    <n v="17.166219867609854"/>
    <n v="2.8610366446016422"/>
    <n v="152.00603968938739"/>
    <n v="25.334339948231232"/>
    <n v="123.12303811259321"/>
    <n v="140.28925798020305"/>
    <n v="275.1290778019806"/>
    <n v="20.520506352098863"/>
    <n v="23.381542996700507"/>
    <n v="45.854846300330095"/>
    <n v="4"/>
    <n v="12.312303811259321"/>
    <n v="951.33067448330348"/>
    <n v="8.0998780288063302E-2"/>
    <m/>
    <n v="5655"/>
    <m/>
    <n v="659.06407500000012"/>
    <n v="113.24125000000001"/>
    <n v="5.82"/>
    <n v="401.33940000000001"/>
    <n v="98.367500000000007"/>
    <n v="4.08"/>
    <n v="303.38343750000001"/>
    <n v="75.28125"/>
    <n v="4.03"/>
    <n v="265.66308749999996"/>
    <n v="68.109999999999985"/>
    <n v="3.9005004771692851"/>
    <n v="1629.45"/>
    <n v="355"/>
    <n v="4.59"/>
    <n v="123.69284249999998"/>
    <n v="1.4326249999999998"/>
    <n v="86.34"/>
    <n v="165.88018124999999"/>
    <n v="1.8523749999999999"/>
    <n v="89.55"/>
    <n v="390.22405499999996"/>
    <n v="4.3252499999999996"/>
    <n v="90.22"/>
    <n v="447.19592125000008"/>
    <n v="5.4897500000000008"/>
    <n v="81.460161437223917"/>
    <n v="1126.9929999999999"/>
    <n v="13.1"/>
    <n v="86.03"/>
    <n v="54.973379999999999"/>
    <n v="1.022"/>
    <n v="53.79"/>
    <n v="47.321793749999998"/>
    <n v="0.958125"/>
    <n v="49.39"/>
    <n v="63.625704999999996"/>
    <n v="1.304875"/>
    <n v="48.76"/>
    <n v="74.529121250000031"/>
    <n v="1.7150000000000001"/>
    <n v="43.457213556851329"/>
    <n v="240.45000000000002"/>
    <n v="5"/>
    <n v="48.09"/>
    <n v="93.17"/>
    <n v="4.37"/>
    <n v="9.56"/>
    <n v="5.21"/>
    <n v="4.6100000000000003"/>
    <x v="3"/>
    <n v="3.8"/>
    <n v="11.19"/>
    <n v="10.15"/>
    <n v="9.83"/>
    <n v="7.41"/>
    <n v="98.68"/>
    <n v="103.35"/>
    <n v="97.87"/>
    <n v="73.209999999999994"/>
  </r>
  <r>
    <x v="8"/>
    <s v="ECA"/>
    <x v="8"/>
    <n v="241"/>
    <n v="29.7"/>
    <n v="8.6"/>
    <n v="78.466666666666654"/>
    <n v="470.79999999999995"/>
    <n v="354"/>
    <n v="2"/>
    <n v="8.3000000000000007"/>
    <n v="69.3"/>
    <n v="415.8"/>
    <n v="147.76666666666665"/>
    <n v="886.59999999999991"/>
    <n v="0.53101736972704716"/>
    <n v="0.51189464740866619"/>
    <n v="0.3785046728971963"/>
    <n v="0.10960067969413766"/>
    <n v="66.3"/>
    <n v="24"/>
    <n v="184"/>
    <n v="725.8"/>
    <n v="-645.79999999999995"/>
    <n v="120.96666666666667"/>
    <n v="-107.63333333333333"/>
    <n v="-0.47083697871099445"/>
    <m/>
    <n v="-342"/>
    <n v="159"/>
    <n v="0"/>
    <n v="0"/>
    <n v="-183"/>
    <n v="-73.599999999999994"/>
    <n v="68.400000000000006"/>
    <n v="0"/>
    <n v="0"/>
    <n v="-5.1999999999999886"/>
    <n v="-41.1"/>
    <n v="24.9"/>
    <n v="0"/>
    <n v="0"/>
    <n v="-16.200000000000003"/>
    <n v="-311.39999999999998"/>
    <n v="-51.899999999999991"/>
    <n v="15"/>
    <n v="12"/>
    <n v="3"/>
    <n v="1844"/>
    <n v="1874"/>
    <n v="15058"/>
    <n v="242.16666666666669"/>
    <n v="1453"/>
    <n v="62.180316586373017"/>
    <n v="10.363386097728837"/>
    <m/>
    <n v="1099"/>
    <n v="275"/>
    <n v="0"/>
    <n v="146.02977667493798"/>
    <n v="-105"/>
    <n v="0"/>
    <n v="-55.75682382133995"/>
    <n v="0"/>
    <n v="116"/>
    <n v="116"/>
    <n v="497"/>
    <n v="0"/>
    <n v="263.91563275434243"/>
    <n v="4313"/>
    <n v="4313"/>
    <n v="0.53101736972704716"/>
    <n v="1569.1885856079405"/>
    <n v="19.998155296617767"/>
    <n v="3.3330258827696273"/>
    <m/>
    <n v="3443.1885856079407"/>
    <n v="344.31885856079407"/>
    <n v="0.18373471641451125"/>
    <n v="4.3880908057875203"/>
    <n v="0.73134846763125338"/>
    <n v="23.882752761257439"/>
    <n v="3.9804587935429061"/>
    <n v="82.178471882990777"/>
    <n v="86.566562688778305"/>
    <n v="106.06122464424821"/>
    <n v="13.696411980498464"/>
    <n v="14.427760448129717"/>
    <n v="17.676870774041369"/>
    <n v="4"/>
    <n v="8.2178471882990785"/>
    <n v="644.8270760418676"/>
    <n v="0.3440912892432591"/>
    <m/>
    <n v="5282"/>
    <m/>
    <n v="317.97157499999997"/>
    <n v="66.521249999999995"/>
    <n v="4.78"/>
    <n v="220.66440000000003"/>
    <n v="62.688750000000006"/>
    <n v="3.52"/>
    <n v="227.15866250000002"/>
    <n v="61.228750000000005"/>
    <n v="3.71"/>
    <n v="171.69536249999996"/>
    <n v="50.561249999999987"/>
    <n v="3.3957895127197211"/>
    <n v="937.49"/>
    <n v="241"/>
    <n v="3.89"/>
    <n v="305.86470750000001"/>
    <n v="6.6247499999999997"/>
    <n v="46.17"/>
    <n v="386.03093499999994"/>
    <n v="7.2726249999999997"/>
    <n v="53.08"/>
    <n v="390.21310499999998"/>
    <n v="7.9022499999999996"/>
    <n v="49.38"/>
    <n v="393.38725249999982"/>
    <n v="7.9003750000000013"/>
    <n v="49.793491131750045"/>
    <n v="1475.4959999999999"/>
    <n v="29.7"/>
    <n v="49.68"/>
    <n v="40.604060000000004"/>
    <n v="1.8523749999999999"/>
    <n v="21.92"/>
    <n v="47.191215"/>
    <n v="1.9436249999999999"/>
    <n v="24.28"/>
    <n v="47.501282500000002"/>
    <n v="2.4272499999999999"/>
    <n v="19.57"/>
    <n v="50.979442499999976"/>
    <n v="2.3767499999999999"/>
    <n v="21.449223729883233"/>
    <n v="186.27599999999998"/>
    <n v="8.6"/>
    <n v="21.66"/>
    <n v="48.66"/>
    <n v="2.62"/>
    <n v="4.97"/>
    <n v="2.9"/>
    <n v="2.75"/>
    <x v="4"/>
    <n v="2.12"/>
    <n v="5.43"/>
    <n v="5.2"/>
    <n v="4.68"/>
    <n v="4.5999999999999996"/>
    <n v="48.49"/>
    <n v="57.85"/>
    <n v="46.64"/>
    <n v="41.94"/>
  </r>
  <r>
    <x v="8"/>
    <s v="ECA"/>
    <x v="9"/>
    <n v="153"/>
    <n v="26.2"/>
    <n v="8.5"/>
    <n v="60.2"/>
    <n v="361.2"/>
    <n v="354"/>
    <n v="0.7"/>
    <n v="9.1999999999999993"/>
    <n v="68.900000000000006"/>
    <n v="413.4"/>
    <n v="129.10000000000002"/>
    <n v="774.59999999999991"/>
    <n v="0.46630518977536795"/>
    <n v="0.42358803986710963"/>
    <n v="0.43521594684385378"/>
    <n v="0.14119601328903653"/>
    <n v="73.099999999999994"/>
    <n v="68.400000000000006"/>
    <n v="142"/>
    <n v="991"/>
    <n v="265.20000000000005"/>
    <n v="165.16666666666666"/>
    <n v="44.199999999999989"/>
    <n v="0.36538991457701836"/>
    <m/>
    <n v="177"/>
    <n v="91"/>
    <n v="16"/>
    <n v="0"/>
    <n v="284"/>
    <n v="-15.6"/>
    <n v="52.2"/>
    <n v="9.6"/>
    <n v="0"/>
    <n v="46.2"/>
    <n v="-1.6"/>
    <n v="17.7"/>
    <n v="2.6"/>
    <n v="0"/>
    <n v="18.7"/>
    <n v="673.40000000000009"/>
    <n v="112.23333333333333"/>
    <n v="4"/>
    <n v="205"/>
    <n v="13"/>
    <n v="860"/>
    <n v="1082"/>
    <n v="14701"/>
    <n v="322.33333333333337"/>
    <n v="1934"/>
    <n v="45.608066184074453"/>
    <n v="7.6013443640124096"/>
    <m/>
    <n v="654"/>
    <n v="309"/>
    <n v="0"/>
    <n v="144.08830364058869"/>
    <n v="-19"/>
    <n v="0"/>
    <n v="-8.8597986057319904"/>
    <n v="0"/>
    <n v="76"/>
    <n v="76"/>
    <n v="296"/>
    <n v="0"/>
    <n v="138.02633617350892"/>
    <n v="2837"/>
    <n v="2837"/>
    <n v="0.46630518977536795"/>
    <n v="1003.2548412083656"/>
    <n v="16.665362810770194"/>
    <n v="2.777560468461699"/>
    <m/>
    <n v="2085.2548412083656"/>
    <n v="208.52548412083658"/>
    <n v="0.19272225889171588"/>
    <n v="3.4638784737680495"/>
    <n v="0.57731307896134165"/>
    <n v="17.973421926910298"/>
    <n v="2.9955703211517166"/>
    <n v="62.27342899484465"/>
    <n v="65.737307468612698"/>
    <n v="80.246850921754941"/>
    <n v="10.37890483247411"/>
    <n v="10.956217911435452"/>
    <n v="13.374475153625827"/>
    <n v="4"/>
    <n v="6.2273428994844648"/>
    <n v="374.88604254896478"/>
    <n v="0.3464750855350876"/>
    <m/>
    <n v="4913"/>
    <m/>
    <n v="78.75"/>
    <n v="37.5"/>
    <n v="2.1"/>
    <n v="78.75"/>
    <n v="37.5"/>
    <n v="2.1"/>
    <n v="78.75"/>
    <n v="37.5"/>
    <n v="2.1"/>
    <n v="78.75"/>
    <n v="37.5"/>
    <n v="2.1"/>
    <n v="315"/>
    <n v="150"/>
    <n v="2.1"/>
    <n v="270.17399999999998"/>
    <n v="5.55"/>
    <n v="48.68"/>
    <n v="270.17399999999998"/>
    <n v="5.55"/>
    <n v="48.68"/>
    <n v="270.17399999999998"/>
    <n v="5.55"/>
    <n v="48.68"/>
    <n v="270.17399999999998"/>
    <n v="5.549999999999998"/>
    <n v="48.680000000000014"/>
    <n v="1080.6959999999999"/>
    <n v="22.2"/>
    <n v="48.68"/>
    <n v="92.612499999999997"/>
    <n v="3.875"/>
    <n v="23.9"/>
    <n v="92.612499999999997"/>
    <n v="3.875"/>
    <n v="23.9"/>
    <n v="92.612499999999997"/>
    <n v="3.875"/>
    <n v="23.9"/>
    <n v="92.612499999999969"/>
    <n v="3.875"/>
    <n v="23.899999999999991"/>
    <n v="370.45"/>
    <n v="15.5"/>
    <n v="23.9"/>
    <n v="43.2"/>
    <n v="2.52"/>
    <n v="5.04"/>
    <n v="1.99"/>
    <n v="2.15"/>
    <x v="1"/>
    <n v="3.04"/>
    <n v="4.0199999999999996"/>
    <n v="5"/>
    <n v="5.04"/>
    <n v="6.05"/>
    <n v="33.35"/>
    <n v="45.46"/>
    <n v="44.85"/>
    <n v="49.14"/>
  </r>
  <r>
    <x v="9"/>
    <s v="EOG"/>
    <x v="0"/>
    <n v="360.6"/>
    <n v="13.042999999999999"/>
    <n v="0"/>
    <n v="73.143000000000001"/>
    <n v="438.858"/>
    <n v="181.99999999999997"/>
    <n v="2.6558999999999999"/>
    <n v="0"/>
    <n v="32.989233333333331"/>
    <n v="197.93539999999996"/>
    <n v="106.13223333333333"/>
    <n v="636.79340000000002"/>
    <n v="0.68916857492555672"/>
    <n v="0.82167808265999487"/>
    <n v="0.17832191734000519"/>
    <n v="0"/>
    <n v="40.072000000000003"/>
    <n v="0"/>
    <n v="1078.3"/>
    <n v="1318.732"/>
    <m/>
    <n v="219.78866666666667"/>
    <m/>
    <m/>
    <m/>
    <n v="-63.2"/>
    <n v="1177.5"/>
    <n v="1.2"/>
    <n v="0"/>
    <n v="1115.5"/>
    <n v="27.933"/>
    <n v="49.417999999999999"/>
    <n v="3.6999999999999998E-2"/>
    <n v="0"/>
    <n v="77.388000000000005"/>
    <n v="0"/>
    <n v="0"/>
    <n v="0"/>
    <n v="0"/>
    <n v="0"/>
    <n v="1579.828"/>
    <n v="263.30466666666666"/>
    <n v="233.33699999999999"/>
    <n v="3.887"/>
    <n v="435.94400000000002"/>
    <n v="2336.2579999999998"/>
    <n v="3009.4259999999999"/>
    <m/>
    <m/>
    <m/>
    <m/>
    <m/>
    <s v="Costs and adds include oil. Sales excluded. Costs exclude asset retirement obligations and non-cash acquisition costs."/>
    <m/>
    <m/>
    <m/>
    <m/>
    <m/>
    <m/>
    <m/>
    <m/>
    <m/>
    <m/>
    <m/>
    <m/>
    <m/>
    <n v="0"/>
    <n v="0"/>
    <m/>
    <m/>
    <m/>
    <m/>
    <m/>
    <m/>
    <m/>
    <m/>
    <m/>
    <m/>
    <m/>
    <m/>
    <m/>
    <m/>
    <m/>
    <m/>
    <m/>
    <m/>
    <n v="4"/>
    <m/>
    <m/>
    <m/>
    <m/>
    <m/>
    <m/>
    <m/>
    <m/>
    <m/>
    <m/>
    <m/>
    <m/>
    <m/>
    <m/>
    <m/>
    <m/>
    <m/>
    <m/>
    <m/>
    <m/>
    <m/>
    <m/>
    <m/>
    <m/>
    <m/>
    <m/>
    <m/>
    <m/>
    <m/>
    <m/>
    <m/>
    <m/>
    <m/>
    <m/>
    <m/>
    <m/>
    <m/>
    <m/>
    <m/>
    <m/>
    <m/>
    <m/>
    <m/>
    <m/>
    <m/>
    <m/>
    <m/>
    <m/>
    <m/>
    <m/>
    <m/>
    <n v="72.34"/>
    <n v="6.97"/>
    <n v="12.91"/>
    <m/>
    <m/>
    <x v="0"/>
    <m/>
    <m/>
    <m/>
    <m/>
    <m/>
    <m/>
    <m/>
    <m/>
    <m/>
  </r>
  <r>
    <x v="9"/>
    <s v="EOG"/>
    <x v="1"/>
    <n v="436"/>
    <n v="14.487"/>
    <n v="5.484"/>
    <n v="92.637666666666661"/>
    <n v="555.82600000000002"/>
    <n v="167.5"/>
    <n v="2.1629999999999998"/>
    <n v="0.36099999999999999"/>
    <n v="30.440666666666669"/>
    <n v="182.64400000000001"/>
    <n v="123.07833333333333"/>
    <n v="738.47"/>
    <n v="0.7526724172952185"/>
    <n v="0.78441814524689379"/>
    <n v="0.15638347252557455"/>
    <n v="5.919838222753164E-2"/>
    <n v="46.238999999999997"/>
    <n v="0"/>
    <n v="1344.3"/>
    <n v="1621.7339999999999"/>
    <n v="303.00199999999995"/>
    <n v="270.28899999999999"/>
    <n v="50.500333333333316"/>
    <n v="0.22976768592860405"/>
    <m/>
    <n v="-110.3"/>
    <n v="1384.4"/>
    <n v="31"/>
    <n v="0"/>
    <n v="1305.1000000000001"/>
    <n v="-1.5920000000000001"/>
    <n v="67.876999999999995"/>
    <n v="6.0000000000000001E-3"/>
    <n v="0"/>
    <n v="66.290999999999997"/>
    <n v="0"/>
    <n v="0"/>
    <n v="0"/>
    <n v="0"/>
    <n v="0"/>
    <n v="1702.846"/>
    <n v="283.80766666666671"/>
    <n v="376.017"/>
    <n v="69.611999999999995"/>
    <n v="550.72500000000002"/>
    <n v="3298.627"/>
    <n v="4294.9809999999998"/>
    <m/>
    <m/>
    <m/>
    <m/>
    <m/>
    <s v="Costs and adds include oil. Sales excluded. Costs exclude asset retirement obligations and non-cash acquisition costs."/>
    <m/>
    <m/>
    <m/>
    <m/>
    <m/>
    <m/>
    <m/>
    <m/>
    <m/>
    <m/>
    <m/>
    <m/>
    <m/>
    <n v="0"/>
    <n v="0"/>
    <m/>
    <m/>
    <m/>
    <m/>
    <m/>
    <m/>
    <m/>
    <m/>
    <m/>
    <m/>
    <m/>
    <m/>
    <m/>
    <m/>
    <m/>
    <m/>
    <m/>
    <m/>
    <n v="4"/>
    <m/>
    <m/>
    <m/>
    <m/>
    <m/>
    <m/>
    <m/>
    <m/>
    <m/>
    <m/>
    <m/>
    <m/>
    <m/>
    <m/>
    <m/>
    <m/>
    <m/>
    <m/>
    <m/>
    <m/>
    <m/>
    <m/>
    <m/>
    <m/>
    <m/>
    <m/>
    <m/>
    <m/>
    <m/>
    <m/>
    <m/>
    <m/>
    <m/>
    <m/>
    <m/>
    <m/>
    <m/>
    <m/>
    <m/>
    <m/>
    <m/>
    <m/>
    <m/>
    <m/>
    <m/>
    <m/>
    <m/>
    <m/>
    <m/>
    <m/>
    <m/>
    <n v="99.67"/>
    <n v="8.86"/>
    <n v="15.2"/>
    <m/>
    <m/>
    <x v="0"/>
    <m/>
    <m/>
    <m/>
    <m/>
    <m/>
    <m/>
    <m/>
    <m/>
    <m/>
  </r>
  <r>
    <x v="9"/>
    <s v="EOG"/>
    <x v="2"/>
    <n v="422.3"/>
    <n v="17.494"/>
    <n v="8.2200000000000006"/>
    <n v="96.097333333333339"/>
    <n v="576.58400000000006"/>
    <n v="194.5"/>
    <n v="2.6390000000000002"/>
    <n v="0.39300000000000002"/>
    <n v="35.448666666666668"/>
    <n v="212.69200000000001"/>
    <n v="131.54599999999999"/>
    <n v="789.27600000000007"/>
    <n v="0.73052265620644741"/>
    <n v="0.73241713262941732"/>
    <n v="0.1820445936758564"/>
    <n v="8.5538273694726177E-2"/>
    <n v="90.619"/>
    <n v="0"/>
    <n v="3020"/>
    <n v="3563.7139999999999"/>
    <n v="1941.98"/>
    <n v="593.95233333333329"/>
    <n v="323.6633333333333"/>
    <n v="1.1974713485688775"/>
    <m/>
    <n v="-378"/>
    <n v="1925"/>
    <n v="450.8"/>
    <n v="0"/>
    <n v="1997.8"/>
    <n v="4.4020000000000001"/>
    <n v="58.258000000000003"/>
    <n v="15.666"/>
    <n v="0"/>
    <n v="78.326000000000008"/>
    <n v="6.109"/>
    <n v="18.545999999999999"/>
    <n v="8.9999999999999993E-3"/>
    <n v="0"/>
    <n v="24.664000000000001"/>
    <n v="2615.7399999999998"/>
    <n v="435.95666666666665"/>
    <n v="648.33100000000002"/>
    <n v="111.36200000000002"/>
    <n v="473.48899999999998"/>
    <n v="1838.8589999999999"/>
    <n v="3072.0410000000002"/>
    <n v="10376.448"/>
    <n v="983.06899999999996"/>
    <n v="5898.4139999999998"/>
    <n v="10.555157369421678"/>
    <n v="1.7591928949036133"/>
    <s v="Costs and adds include oil. Sales excluded. Costs exclude asset retirement obligations and non-cash acquisition costs."/>
    <n v="827"/>
    <n v="248.274"/>
    <n v="0"/>
    <n v="161.97222152029346"/>
    <n v="51.683999999999997"/>
    <n v="0"/>
    <n v="33.71828019468348"/>
    <m/>
    <n v="0"/>
    <n v="0"/>
    <n v="155.82"/>
    <n v="0"/>
    <n v="101.65587841373694"/>
    <n v="3399.473"/>
    <n v="3806.5889999999999"/>
    <n v="0.65239300740429307"/>
    <n v="1124.3463801287139"/>
    <n v="11.700078879698852"/>
    <n v="1.9500131466164754"/>
    <s v="Includes lease and well costs, transportation costs, gathering and processing costs.; Non-income tax = alternative minimum tax paid; Prodction taxes included in LOE"/>
    <n v="4196.3873801287136"/>
    <n v="419.63873801287139"/>
    <n v="0.13659932859387988"/>
    <n v="4.3668093947754851"/>
    <n v="0.72780156579591415"/>
    <n v="31.968015068055998"/>
    <n v="5.3280025113426666"/>
    <n v="22.255236249120529"/>
    <n v="26.622045643896016"/>
    <n v="54.223251317176526"/>
    <n v="3.7092060415200887"/>
    <n v="4.4370076073160032"/>
    <n v="9.0372085528627544"/>
    <n v="4"/>
    <n v="2.2255236249120527"/>
    <n v="213.86688562438184"/>
    <n v="6.9617197695076932E-2"/>
    <n v="118.459"/>
    <m/>
    <m/>
    <m/>
    <m/>
    <m/>
    <m/>
    <m/>
    <m/>
    <m/>
    <m/>
    <m/>
    <m/>
    <m/>
    <m/>
    <m/>
    <m/>
    <m/>
    <m/>
    <m/>
    <m/>
    <m/>
    <m/>
    <m/>
    <m/>
    <m/>
    <m/>
    <m/>
    <m/>
    <m/>
    <m/>
    <m/>
    <m/>
    <m/>
    <m/>
    <m/>
    <m/>
    <m/>
    <m/>
    <m/>
    <m/>
    <m/>
    <m/>
    <m/>
    <m/>
    <m/>
    <m/>
    <m/>
    <n v="61.95"/>
    <n v="3.94"/>
    <n v="8.99"/>
    <m/>
    <m/>
    <x v="0"/>
    <m/>
    <m/>
    <m/>
    <m/>
    <m/>
    <m/>
    <m/>
    <m/>
    <m/>
  </r>
  <r>
    <x v="9"/>
    <s v="EOG"/>
    <x v="3"/>
    <n v="422.6"/>
    <n v="23.091999999999999"/>
    <n v="10.763999999999999"/>
    <n v="104.28933333333333"/>
    <n v="625.7360000000001"/>
    <n v="210.79999999999998"/>
    <n v="4.1919999999999993"/>
    <n v="0.316"/>
    <n v="39.641333333333336"/>
    <n v="237.84799999999996"/>
    <n v="143.93066666666667"/>
    <n v="863.58400000000006"/>
    <n v="0.72458035350353878"/>
    <n v="0.67536469054041948"/>
    <n v="0.22142245291944207"/>
    <n v="0.10321285654013833"/>
    <n v="252.583"/>
    <n v="0"/>
    <n v="2971.7"/>
    <n v="4487.1980000000003"/>
    <n v="923.48400000000038"/>
    <n v="747.86633333333327"/>
    <n v="153.91399999999999"/>
    <n v="0.25913527292032973"/>
    <m/>
    <n v="-222.7"/>
    <n v="821.3"/>
    <n v="0"/>
    <n v="0"/>
    <n v="598.59999999999991"/>
    <n v="-8.3130000000000006"/>
    <n v="199.47900000000001"/>
    <n v="1.2999999999999999E-2"/>
    <n v="0"/>
    <n v="191.17900000000003"/>
    <n v="27.49"/>
    <n v="42.220999999999997"/>
    <n v="0"/>
    <n v="0"/>
    <n v="69.710999999999999"/>
    <n v="2163.94"/>
    <n v="360.65666666666669"/>
    <n v="403.50900000000001"/>
    <n v="0"/>
    <n v="454.37899999999996"/>
    <n v="3821.4029999999998"/>
    <n v="4679.2909999999993"/>
    <n v="12046.312999999998"/>
    <n v="1080.421"/>
    <n v="6482.5259999999998"/>
    <n v="11.14964722085187"/>
    <n v="1.8582745368086451"/>
    <s v="Costs and adds include oil. Sales excluded. Costs exclude asset retirement obligations and non-cash acquisition costs."/>
    <n v="1136"/>
    <n v="280"/>
    <n v="0"/>
    <n v="171.01209696661695"/>
    <n v="233.46199999999999"/>
    <n v="0"/>
    <n v="142.58866493578688"/>
    <m/>
    <n v="0"/>
    <n v="0"/>
    <n v="205.886"/>
    <n v="0"/>
    <n v="125.74641641453177"/>
    <n v="4881.2150000000001"/>
    <n v="5790.8950000000004"/>
    <n v="0.61075748916648909"/>
    <n v="1575.3471783169357"/>
    <n v="15.105544622495133"/>
    <n v="2.5175907704158549"/>
    <s v="Includes lease and well costs, transportation costs, gathering and processing costs.; Non-income tax = alternative minimum tax paid; Prodction taxes included in LOE"/>
    <n v="6254.6381783169345"/>
    <n v="625.46381783169352"/>
    <n v="0.13366636480434613"/>
    <n v="5.9973901245735597"/>
    <n v="0.99956502076225984"/>
    <n v="44.868356623240466"/>
    <n v="7.4780594372067428"/>
    <n v="26.255191843347003"/>
    <n v="32.252581967920563"/>
    <n v="71.123548466587465"/>
    <n v="4.3758653072245002"/>
    <n v="5.3754303279867601"/>
    <n v="11.853924744431243"/>
    <n v="4"/>
    <n v="2.6255191843347001"/>
    <n v="273.81364538814296"/>
    <n v="5.8516054117630854E-2"/>
    <n v="99.801000000000002"/>
    <m/>
    <m/>
    <m/>
    <m/>
    <m/>
    <m/>
    <m/>
    <m/>
    <m/>
    <m/>
    <m/>
    <m/>
    <m/>
    <m/>
    <m/>
    <m/>
    <m/>
    <m/>
    <m/>
    <m/>
    <m/>
    <m/>
    <m/>
    <m/>
    <m/>
    <m/>
    <m/>
    <m/>
    <m/>
    <m/>
    <m/>
    <m/>
    <m/>
    <m/>
    <m/>
    <m/>
    <m/>
    <m/>
    <m/>
    <m/>
    <m/>
    <m/>
    <m/>
    <m/>
    <m/>
    <m/>
    <m/>
    <n v="79.48"/>
    <n v="4.37"/>
    <n v="11.83"/>
    <m/>
    <m/>
    <x v="0"/>
    <m/>
    <m/>
    <m/>
    <m/>
    <m/>
    <m/>
    <m/>
    <m/>
    <m/>
  </r>
  <r>
    <x v="9"/>
    <s v="EOG"/>
    <x v="4"/>
    <n v="415.7"/>
    <n v="37.232999999999997"/>
    <n v="15.144"/>
    <n v="121.66033333333334"/>
    <n v="729.96199999999999"/>
    <n v="180.1"/>
    <n v="4.1490000000000009"/>
    <n v="0.316"/>
    <n v="34.481666666666669"/>
    <n v="206.89"/>
    <n v="156.142"/>
    <n v="936.85199999999998"/>
    <n v="0.77916469196842186"/>
    <n v="0.56948169904734769"/>
    <n v="0.30604058841419141"/>
    <n v="0.12447771253846091"/>
    <n v="383.73899999999998"/>
    <n v="0"/>
    <n v="2810.8"/>
    <n v="5113.2340000000004"/>
    <n v="626.03600000000006"/>
    <n v="852.20566666666673"/>
    <n v="104.33933333333346"/>
    <n v="0.13951601868248309"/>
    <m/>
    <n v="-344"/>
    <n v="634"/>
    <n v="3"/>
    <n v="0"/>
    <n v="293"/>
    <n v="-21.187999999999999"/>
    <n v="202.52199999999999"/>
    <n v="8.9999999999999993E-3"/>
    <n v="0"/>
    <n v="181.34299999999999"/>
    <n v="35.999000000000002"/>
    <n v="65.287999999999997"/>
    <n v="1.7000000000000001E-2"/>
    <n v="0"/>
    <n v="101.304"/>
    <n v="1988.8820000000001"/>
    <n v="331.48033333333331"/>
    <n v="295.15999999999997"/>
    <n v="4.2189999999999994"/>
    <n v="311.36900000000003"/>
    <n v="5358.3789999999999"/>
    <n v="5969.1270000000004"/>
    <n v="13720.458999999999"/>
    <n v="1128.0936666666666"/>
    <n v="6768.5619999999999"/>
    <n v="12.162517533266298"/>
    <n v="2.0270862555443827"/>
    <s v="Costs and adds include oil. Sales excluded. Costs exclude asset retirement obligations and non-cash acquisition costs."/>
    <n v="1518"/>
    <n v="304"/>
    <n v="0"/>
    <n v="181.02005336829305"/>
    <n v="260.22399999999999"/>
    <n v="0"/>
    <n v="154.95316568325885"/>
    <m/>
    <n v="0"/>
    <n v="0"/>
    <n v="268.10399999999998"/>
    <n v="0"/>
    <n v="159.6453960139896"/>
    <n v="6858.1580000000004"/>
    <n v="8973.9500000000007"/>
    <n v="0.59546070186938505"/>
    <n v="2013.6186150655415"/>
    <n v="16.551151553633268"/>
    <n v="2.7585252589388785"/>
    <s v="Includes lease and well costs, transportation costs, gathering and processing costs.; Non-income tax = alternative minimum tax paid; Prodction taxes included in LOE"/>
    <n v="7982.7456150655416"/>
    <n v="798.27456150655416"/>
    <n v="0.13373388797165048"/>
    <n v="6.5615023371618308"/>
    <n v="1.0935837228603054"/>
    <n v="49.063871817985046"/>
    <n v="8.1773119696641743"/>
    <n v="28.713669086899564"/>
    <n v="35.275171424061398"/>
    <n v="77.777540904884603"/>
    <n v="4.7856115144832607"/>
    <n v="5.8791952373435663"/>
    <n v="12.962923484147435"/>
    <n v="4"/>
    <n v="2.8713669086899563"/>
    <n v="349.331455233523"/>
    <n v="5.8523039505362001E-2"/>
    <n v="61.110999999999997"/>
    <m/>
    <m/>
    <m/>
    <m/>
    <m/>
    <m/>
    <m/>
    <m/>
    <m/>
    <m/>
    <m/>
    <m/>
    <m/>
    <m/>
    <m/>
    <m/>
    <m/>
    <m/>
    <m/>
    <m/>
    <m/>
    <m/>
    <m/>
    <m/>
    <m/>
    <m/>
    <m/>
    <m/>
    <m/>
    <m/>
    <m/>
    <m/>
    <m/>
    <m/>
    <m/>
    <m/>
    <m/>
    <m/>
    <m/>
    <m/>
    <m/>
    <m/>
    <m/>
    <m/>
    <m/>
    <m/>
    <m/>
    <n v="94.88"/>
    <n v="4"/>
    <n v="15.12"/>
    <m/>
    <m/>
    <x v="0"/>
    <m/>
    <m/>
    <m/>
    <m/>
    <m/>
    <m/>
    <m/>
    <m/>
    <m/>
  </r>
  <r>
    <x v="9"/>
    <s v="EOG"/>
    <x v="5"/>
    <n v="380.2"/>
    <n v="54.631999999999998"/>
    <n v="20.181000000000001"/>
    <n v="138.17966666666666"/>
    <n v="829.07799999999997"/>
    <n v="176.4"/>
    <n v="3.1629999999999998"/>
    <n v="0.309"/>
    <n v="32.872"/>
    <n v="197.23200000000003"/>
    <n v="171.05166666666668"/>
    <n v="1026.31"/>
    <n v="0.80782414670031477"/>
    <n v="0.45858170160105566"/>
    <n v="0.39536931386431673"/>
    <n v="0.14604898453462764"/>
    <n v="389.86200000000002"/>
    <n v="156.92400000000001"/>
    <n v="1648.5"/>
    <n v="4929.2160000000003"/>
    <n v="-184.01800000000003"/>
    <n v="821.53600000000006"/>
    <n v="-30.669666666666672"/>
    <n v="-3.5988573963170865E-2"/>
    <m/>
    <n v="-1736"/>
    <n v="477.8"/>
    <n v="14.8"/>
    <n v="0"/>
    <n v="-1243.4000000000001"/>
    <n v="4.1050000000000004"/>
    <n v="241.17099999999999"/>
    <n v="1.01"/>
    <n v="0"/>
    <n v="246.28599999999997"/>
    <n v="47.292999999999999"/>
    <n v="71.396000000000001"/>
    <n v="0.61199999999999999"/>
    <n v="0"/>
    <n v="119.30099999999999"/>
    <n v="950.12199999999973"/>
    <n v="158.35366666666661"/>
    <n v="471.34500000000003"/>
    <n v="0.73899999999999999"/>
    <n v="333.53399999999999"/>
    <n v="5577.3779999999997"/>
    <n v="6382.9959999999992"/>
    <n v="17031.413999999997"/>
    <n v="850.49066666666658"/>
    <n v="5102.9439999999995"/>
    <n v="20.025397887964278"/>
    <n v="3.3375663146607133"/>
    <s v="Costs and adds include oil. Sales excluded. Costs exclude asset retirement obligations and non-cash acquisition costs."/>
    <n v="1856.18"/>
    <n v="331.54500000000002"/>
    <n v="0"/>
    <n v="192.8067660775759"/>
    <n v="360.00599999999997"/>
    <n v="0"/>
    <n v="209.3579834668711"/>
    <m/>
    <n v="0"/>
    <n v="0"/>
    <n v="263.25400000000002"/>
    <n v="0"/>
    <n v="153.09280006329809"/>
    <n v="7958.3759999999993"/>
    <n v="11055.07"/>
    <n v="0.5815402617369464"/>
    <n v="2411.437549607745"/>
    <n v="17.451464515578113"/>
    <n v="2.9085774192630187"/>
    <s v="Includes lease and well costs, transportation costs, gathering and processing costs.; Non-income tax = alternative minimum tax paid; Prodction taxes included in LOE"/>
    <n v="8794.4335496077438"/>
    <n v="879.4433549607744"/>
    <n v="0.13777908602179517"/>
    <n v="6.3644917966278767"/>
    <n v="1.0607486327713127"/>
    <n v="46.193453450700652"/>
    <n v="7.6989089084501092"/>
    <n v="37.476862403542391"/>
    <n v="43.841354200170265"/>
    <n v="83.670315854243043"/>
    <n v="6.2461437339237325"/>
    <n v="7.3068923666950454"/>
    <n v="13.945052642373842"/>
    <n v="4"/>
    <n v="3.747686240354239"/>
    <n v="517.85403546340194"/>
    <n v="8.1130245963400571E-2"/>
    <n v="49.116"/>
    <m/>
    <m/>
    <n v="238.39245"/>
    <n v="96.907499999999999"/>
    <n v="2.46"/>
    <n v="204.062375"/>
    <n v="97.637500000000003"/>
    <n v="2.09"/>
    <n v="243.402075"/>
    <n v="93.257500000000007"/>
    <n v="2.61"/>
    <n v="265.60609999999997"/>
    <n v="89.607500000000059"/>
    <n v="2.9641056831180403"/>
    <n v="951.46299999999997"/>
    <n v="377.41"/>
    <n v="2.5099999999999998"/>
    <n v="1217.0112875000002"/>
    <n v="11.953750000000001"/>
    <n v="101.81"/>
    <n v="1315.6333749999999"/>
    <n v="13.733124999999999"/>
    <n v="95.8"/>
    <n v="1437.1265449999999"/>
    <n v="14.718624999999999"/>
    <n v="97.64"/>
    <n v="1391.3977024999992"/>
    <n v="14.088999999999997"/>
    <n v="98.757733160621726"/>
    <n v="5361.1689099999994"/>
    <n v="54.494499999999995"/>
    <n v="98.38"/>
    <n v="195.02378875000002"/>
    <n v="4.5898750000000001"/>
    <n v="42.49"/>
    <n v="167.10466500000001"/>
    <n v="4.9822500000000005"/>
    <n v="33.54"/>
    <n v="164.08529374999998"/>
    <n v="5.3016249999999996"/>
    <n v="30.95"/>
    <n v="185.9344674999999"/>
    <n v="5.2377499999999992"/>
    <n v="35.498919860627161"/>
    <n v="712.14821499999994"/>
    <n v="20.111499999999999"/>
    <n v="35.409999999999997"/>
    <n v="94.05"/>
    <n v="2.75"/>
    <n v="10.98"/>
    <n v="2.41"/>
    <n v="2.2799999999999998"/>
    <x v="1"/>
    <n v="3.4"/>
    <n v="13.14"/>
    <n v="10.75"/>
    <n v="9.9600000000000009"/>
    <n v="10.08"/>
    <n v="102.98"/>
    <n v="93.29"/>
    <n v="92.17"/>
    <n v="88.01"/>
  </r>
  <r>
    <x v="9"/>
    <s v="EOG"/>
    <x v="6"/>
    <n v="342.3"/>
    <n v="77.430999999999997"/>
    <n v="23.478999999999999"/>
    <n v="157.95999999999998"/>
    <n v="947.76"/>
    <n v="160.1"/>
    <n v="3.03"/>
    <n v="0.315"/>
    <n v="30.028333333333336"/>
    <n v="180.17"/>
    <n v="187.98833333333332"/>
    <n v="1127.93"/>
    <n v="0.84026491005647508"/>
    <n v="0.36116738414788557"/>
    <n v="0.49019371992909599"/>
    <n v="0.14863889592301849"/>
    <n v="497.53199999999998"/>
    <n v="176.03800000000001"/>
    <n v="1801.4"/>
    <n v="5842.82"/>
    <n v="913.60399999999936"/>
    <n v="973.80333333333328"/>
    <n v="152.26733333333323"/>
    <n v="0.18534468767446979"/>
    <m/>
    <n v="264"/>
    <n v="504.7"/>
    <n v="5.7"/>
    <n v="0"/>
    <n v="774.40000000000009"/>
    <n v="57.667999999999999"/>
    <n v="230.023"/>
    <n v="1.097"/>
    <n v="0"/>
    <n v="288.78799999999995"/>
    <n v="12.157"/>
    <n v="69.186999999999998"/>
    <n v="1.202"/>
    <n v="0"/>
    <n v="82.545999999999992"/>
    <n v="3002.4039999999995"/>
    <n v="500.40066666666661"/>
    <n v="411.55599999999998"/>
    <n v="120.22"/>
    <n v="273.78799999999995"/>
    <n v="5489.26"/>
    <n v="6294.8240000000005"/>
    <n v="18646.947"/>
    <n v="990.2346666666665"/>
    <n v="5941.4079999999994"/>
    <n v="18.83083639433616"/>
    <n v="3.13847273238936"/>
    <s v="Costs and adds include oil. Sales excluded. Costs exclude asset retirement obligations and non-cash acquisition costs."/>
    <n v="2336.3580000000002"/>
    <n v="348.31200000000001"/>
    <n v="0"/>
    <n v="218.61347066438097"/>
    <n v="294.73899999999998"/>
    <n v="0"/>
    <n v="184.98907798223712"/>
    <m/>
    <n v="0"/>
    <n v="0"/>
    <n v="284.59899999999999"/>
    <n v="0"/>
    <n v="178.62483961968624"/>
    <n v="10755.646000000001"/>
    <n v="14399.395"/>
    <n v="0.62763691938371624"/>
    <n v="2918.5853882663046"/>
    <n v="18.476737074362529"/>
    <n v="3.0794561790604211"/>
    <s v="Includes lease and well costs, transportation costs, gathering and processing costs.; Non-income tax = alternative minimum tax paid; Prodction taxes included in LOE"/>
    <n v="9213.4093882663055"/>
    <n v="921.34093882663058"/>
    <n v="0.14636484496256455"/>
    <n v="5.8327484098925719"/>
    <n v="0.97212473498209528"/>
    <n v="39.850747024563191"/>
    <n v="6.6417911707605306"/>
    <n v="37.307573468698692"/>
    <n v="43.140321878591266"/>
    <n v="77.158320493261883"/>
    <n v="6.2179289114497811"/>
    <n v="7.1900536464318767"/>
    <n v="12.859720082210313"/>
    <n v="4"/>
    <n v="3.7307573468698694"/>
    <n v="589.3104305115645"/>
    <n v="9.3618253744912394E-2"/>
    <n v="9.2110000000000003"/>
    <m/>
    <m/>
    <n v="262.50070000000005"/>
    <n v="85.227500000000006"/>
    <n v="3.08"/>
    <n v="315.85640000000001"/>
    <n v="84.68"/>
    <n v="3.73"/>
    <n v="261.68766249999999"/>
    <n v="82.033749999999998"/>
    <n v="3.19"/>
    <n v="260.76323749999995"/>
    <n v="79.478749999999991"/>
    <n v="3.2809176981268573"/>
    <n v="1100.808"/>
    <n v="331.42"/>
    <n v="3.32"/>
    <n v="1733.8805787499998"/>
    <n v="16.269874999999999"/>
    <n v="106.57"/>
    <n v="1954.5973562500001"/>
    <n v="18.843125000000001"/>
    <n v="103.73"/>
    <n v="2254.6283600000002"/>
    <n v="20.7685"/>
    <n v="108.56"/>
    <n v="2093.5005699999992"/>
    <n v="21.534999999999997"/>
    <n v="97.213864406779635"/>
    <n v="8036.6068649999997"/>
    <n v="77.416499999999999"/>
    <n v="103.81"/>
    <n v="169.13351749999998"/>
    <n v="5.3472499999999998"/>
    <n v="31.63"/>
    <n v="175.48314875000003"/>
    <n v="5.8126250000000006"/>
    <n v="30.19"/>
    <n v="203.81143749999998"/>
    <n v="6.2232499999999993"/>
    <n v="32.75"/>
    <n v="213.39186624999996"/>
    <n v="6.0863749999999994"/>
    <n v="35.060584707646171"/>
    <n v="761.81997000000001"/>
    <n v="23.4695"/>
    <n v="32.46"/>
    <n v="97.98"/>
    <n v="3.73"/>
    <n v="9.94"/>
    <n v="3.49"/>
    <n v="4.01"/>
    <x v="2"/>
    <n v="3.85"/>
    <n v="9.77"/>
    <n v="9.39"/>
    <n v="10.01"/>
    <n v="10.53"/>
    <n v="94.33"/>
    <n v="94.05"/>
    <n v="105.83"/>
    <n v="97.44"/>
  </r>
  <r>
    <x v="9"/>
    <s v="EOG"/>
    <x v="7"/>
    <n v="348.4"/>
    <n v="102.946"/>
    <n v="29.061"/>
    <n v="190.07366666666667"/>
    <n v="1140.442"/>
    <n v="157.90000000000003"/>
    <n v="2.5019999999999953"/>
    <n v="0.23599999999999999"/>
    <n v="29.05466666666667"/>
    <n v="174.328"/>
    <n v="219.12833333333333"/>
    <n v="1314.77"/>
    <n v="0.86740798770887684"/>
    <n v="0.30549558855250858"/>
    <n v="0.5416110595716398"/>
    <n v="0.15289335187585165"/>
    <n v="635.98800000000006"/>
    <n v="202.31899999999999"/>
    <n v="1802.7"/>
    <n v="6832.5420000000004"/>
    <n v="989.72200000000066"/>
    <n v="1138.7570000000001"/>
    <n v="164.95366666666678"/>
    <n v="0.16939115016379089"/>
    <m/>
    <n v="252.2"/>
    <n v="17.100000000000001"/>
    <n v="638.29999999999995"/>
    <n v="0"/>
    <n v="907.59999999999991"/>
    <n v="28.300999999999998"/>
    <n v="319.54000000000002"/>
    <n v="9.7050000000000001"/>
    <n v="0"/>
    <n v="357.54599999999999"/>
    <n v="27.45"/>
    <n v="91.683000000000007"/>
    <n v="1.8120000000000001"/>
    <n v="0"/>
    <n v="120.94500000000001"/>
    <n v="3778.5459999999998"/>
    <n v="629.75766666666664"/>
    <n v="365.91500000000002"/>
    <n v="138.77199999999999"/>
    <n v="332.70299999999997"/>
    <n v="6489.192"/>
    <n v="7326.5820000000003"/>
    <n v="20004.402000000002"/>
    <n v="1288.5119999999997"/>
    <n v="7731.0719999999992"/>
    <n v="15.525196505736854"/>
    <n v="2.5875327509561421"/>
    <m/>
    <n v="2897.596"/>
    <n v="402.01"/>
    <n v="0"/>
    <n v="263.90844900736369"/>
    <n v="342.74099999999999"/>
    <n v="0"/>
    <n v="224.99998935656535"/>
    <m/>
    <n v="0"/>
    <n v="0"/>
    <n v="258.62799999999999"/>
    <n v="0"/>
    <n v="169.78213066808402"/>
    <n v="12592.914999999999"/>
    <n v="16639.231"/>
    <n v="0.65647234896486084"/>
    <n v="3556.2865690320132"/>
    <n v="18.710043486816584"/>
    <n v="3.1183405811360974"/>
    <m/>
    <n v="10882.868569032013"/>
    <n v="1088.2868569032014"/>
    <n v="0.1485395040829682"/>
    <n v="5.7256056348496536"/>
    <n v="0.95426760580827552"/>
    <n v="38.546012861679948"/>
    <n v="6.4243354769466574"/>
    <n v="34.235239992553439"/>
    <n v="39.960845627403089"/>
    <n v="72.781252854233387"/>
    <n v="5.7058733320922395"/>
    <n v="6.6601409379005148"/>
    <n v="12.130208809038898"/>
    <n v="4"/>
    <n v="3.4235239992553437"/>
    <n v="650.72175945979382"/>
    <n v="8.8816553129384718E-2"/>
    <n v="17.253"/>
    <m/>
    <m/>
    <n v="404.62439999999998"/>
    <n v="81.577500000000001"/>
    <n v="4.96"/>
    <n v="349.44187499999998"/>
    <n v="84.40625"/>
    <n v="4.1399999999999997"/>
    <n v="298.81455"/>
    <n v="85.866249999999994"/>
    <n v="3.48"/>
    <n v="266.81317500000029"/>
    <n v="83.950000000000031"/>
    <n v="3.1782391304347848"/>
    <n v="1319.6940000000002"/>
    <n v="335.8"/>
    <n v="3.93"/>
    <n v="2368.8224425000003"/>
    <n v="23.551625000000001"/>
    <n v="100.58"/>
    <n v="2572.377285"/>
    <n v="25.05725"/>
    <n v="102.66"/>
    <n v="2604.0154849999999"/>
    <n v="26.7545"/>
    <n v="97.33"/>
    <n v="1999.4836874999987"/>
    <n v="27.566625000000002"/>
    <n v="72.532770605759637"/>
    <n v="9544.6988999999994"/>
    <n v="102.92999999999999"/>
    <n v="92.73"/>
    <n v="246.14505000000003"/>
    <n v="6.4605000000000006"/>
    <n v="38.1"/>
    <n v="246.05334375000001"/>
    <n v="7.163125"/>
    <n v="34.35"/>
    <n v="255.31184249999998"/>
    <n v="7.82925"/>
    <n v="32.61"/>
    <n v="178.73128374999987"/>
    <n v="7.6376249999999954"/>
    <n v="23.401421744324967"/>
    <n v="926.24151999999992"/>
    <n v="29.090499999999999"/>
    <n v="31.84"/>
    <n v="93.17"/>
    <n v="4.37"/>
    <n v="9.56"/>
    <n v="5.21"/>
    <n v="4.6100000000000003"/>
    <x v="3"/>
    <n v="3.8"/>
    <n v="11.19"/>
    <n v="10.15"/>
    <n v="9.83"/>
    <n v="7.41"/>
    <n v="98.68"/>
    <n v="103.35"/>
    <n v="97.87"/>
    <n v="73.209999999999994"/>
  </r>
  <r>
    <x v="9"/>
    <s v="EOG"/>
    <x v="8"/>
    <n v="337.3"/>
    <n v="103.4"/>
    <n v="28.079000000000001"/>
    <n v="187.69566666666668"/>
    <n v="1126.174"/>
    <n v="138.39999999999998"/>
    <n v="0.39699999999999136"/>
    <n v="1.9E-2"/>
    <n v="23.482666666666653"/>
    <n v="140.89599999999993"/>
    <n v="211.17833333333334"/>
    <n v="1267.07"/>
    <n v="0.8888017236616762"/>
    <n v="0.29950966724502609"/>
    <n v="0.55089178048862786"/>
    <n v="0.14959855226634605"/>
    <n v="643.79"/>
    <n v="176.977"/>
    <n v="1278.5999999999999"/>
    <n v="6203.2019999999993"/>
    <n v="-629.34000000000106"/>
    <n v="1033.867"/>
    <n v="-104.8900000000001"/>
    <n v="-9.2109203280418994E-2"/>
    <m/>
    <n v="-1453.1"/>
    <n v="306.3"/>
    <n v="72.3"/>
    <n v="0"/>
    <n v="-1074.5"/>
    <n v="-114.92400000000001"/>
    <n v="141.31"/>
    <n v="35.921999999999997"/>
    <n v="0"/>
    <n v="62.307999999999993"/>
    <n v="-113.29"/>
    <n v="49.146999999999998"/>
    <n v="8.2509999999999994"/>
    <n v="0"/>
    <n v="-55.892000000000003"/>
    <n v="-1036.0040000000001"/>
    <n v="-172.66733333333335"/>
    <n v="133.80099999999999"/>
    <n v="480.61700000000002"/>
    <n v="206.81399999999999"/>
    <n v="3815.8159999999998"/>
    <n v="4637.0479999999998"/>
    <n v="18258.454000000002"/>
    <n v="957.49099999999999"/>
    <n v="5744.945999999999"/>
    <n v="19.069060701353852"/>
    <n v="3.178176783558976"/>
    <m/>
    <n v="2324.6170000000002"/>
    <n v="366.59399999999999"/>
    <n v="0"/>
    <n v="241.02066279278657"/>
    <n v="41.107999999999997"/>
    <n v="0"/>
    <n v="27.026840063083057"/>
    <m/>
    <n v="0"/>
    <n v="0"/>
    <n v="279.23399999999998"/>
    <n v="0"/>
    <n v="183.58501163216246"/>
    <n v="6403.2579999999998"/>
    <n v="8656.393"/>
    <n v="0.65745937683864597"/>
    <n v="2776.2495144880322"/>
    <n v="14.791228608481632"/>
    <n v="2.4652047680802722"/>
    <m/>
    <n v="7413.297514488032"/>
    <n v="741.32975144880322"/>
    <n v="0.15987105405180263"/>
    <n v="3.9496370087507073"/>
    <n v="0.65827283479178456"/>
    <n v="24.705141479025439"/>
    <n v="4.1175235798375738"/>
    <n v="33.86028930983548"/>
    <n v="37.809926318586186"/>
    <n v="58.565430788860922"/>
    <n v="5.6433815516392478"/>
    <n v="6.3016543864310322"/>
    <n v="9.7609051314768216"/>
    <n v="4"/>
    <n v="3.3860289309835481"/>
    <n v="635.54295755357771"/>
    <n v="0.13705766201979747"/>
    <n v="8.9550000000000001"/>
    <m/>
    <m/>
    <n v="187.45943750000001"/>
    <n v="82.581249999999997"/>
    <n v="2.27"/>
    <n v="171.55091250000001"/>
    <n v="81.303750000000008"/>
    <n v="2.11"/>
    <n v="165.48735000000002"/>
    <n v="81.121250000000003"/>
    <n v="2.04"/>
    <n v="112.58059999999998"/>
    <n v="78.383749999999964"/>
    <n v="1.4362747380675207"/>
    <n v="637.07830000000001"/>
    <n v="323.39"/>
    <n v="1.97"/>
    <n v="1272.7190475"/>
    <n v="27.247249999999998"/>
    <n v="46.71"/>
    <n v="1450.0040187500001"/>
    <n v="25.230625000000003"/>
    <n v="57.47"/>
    <n v="1166.3866087500001"/>
    <n v="25.394874999999999"/>
    <n v="45.93"/>
    <n v="1027.7742999999998"/>
    <n v="25.531749999999999"/>
    <n v="40.254753395282336"/>
    <n v="4916.8839749999997"/>
    <n v="103.4045"/>
    <n v="47.55"/>
    <n v="113.710275"/>
    <n v="7.0627499999999994"/>
    <n v="16.100000000000001"/>
    <n v="104.15001250000002"/>
    <n v="6.697750000000001"/>
    <n v="15.55"/>
    <n v="93.944156250000006"/>
    <n v="7.0901250000000005"/>
    <n v="13.25"/>
    <n v="95.188806249999999"/>
    <n v="7.2178749999999994"/>
    <n v="13.187926675094818"/>
    <n v="406.99324999999999"/>
    <n v="28.0685"/>
    <n v="14.5"/>
    <n v="48.66"/>
    <n v="2.62"/>
    <n v="4.97"/>
    <n v="2.9"/>
    <n v="2.75"/>
    <x v="4"/>
    <n v="2.12"/>
    <n v="5.43"/>
    <n v="5.2"/>
    <n v="4.68"/>
    <n v="4.5999999999999996"/>
    <n v="48.49"/>
    <n v="57.85"/>
    <n v="46.64"/>
    <n v="41.94"/>
  </r>
  <r>
    <x v="9"/>
    <s v="EOG"/>
    <x v="9"/>
    <n v="308.60000000000002"/>
    <n v="101.854"/>
    <n v="29.878"/>
    <n v="183.16533333333331"/>
    <n v="1098.992"/>
    <n v="134"/>
    <n v="1.5570000000000022"/>
    <n v="0"/>
    <n v="23.890333333333334"/>
    <n v="143.34200000000001"/>
    <n v="207.05566666666664"/>
    <n v="1242.3340000000001"/>
    <n v="0.88461879011602351"/>
    <n v="0.28080277199470061"/>
    <n v="0.55607684132368573"/>
    <n v="0.16312038668161372"/>
    <n v="660.96"/>
    <n v="186.14699999999999"/>
    <n v="1216.8"/>
    <n v="6299.442"/>
    <n v="96.240000000000691"/>
    <n v="1049.9069999999999"/>
    <n v="16.039999999999964"/>
    <n v="1.5514568121431446E-2"/>
    <m/>
    <n v="298.39999999999998"/>
    <n v="202.1"/>
    <n v="91.5"/>
    <n v="0"/>
    <n v="592"/>
    <n v="42.04"/>
    <n v="123.441"/>
    <n v="25.795000000000002"/>
    <n v="0"/>
    <n v="191.27600000000001"/>
    <n v="53.771000000000001"/>
    <n v="41.862000000000002"/>
    <n v="1.284"/>
    <n v="0"/>
    <n v="96.917000000000016"/>
    <n v="2321.1579999999999"/>
    <n v="386.85966666666673"/>
    <n v="3216.598"/>
    <n v="749.02300000000002"/>
    <n v="156.29499999999999"/>
    <n v="2294.7130000000002"/>
    <n v="6416.6290000000008"/>
    <n v="18380.259000000002"/>
    <n v="843.95"/>
    <n v="5063.6999999999989"/>
    <n v="21.778848273001955"/>
    <n v="3.6298080455003272"/>
    <m/>
    <n v="1917.6179999999999"/>
    <n v="394.815"/>
    <n v="0"/>
    <n v="257.24188196492253"/>
    <n v="-39.238999999999997"/>
    <n v="0"/>
    <n v="-25.566187217865568"/>
    <m/>
    <n v="0"/>
    <n v="0"/>
    <n v="313.34100000000001"/>
    <n v="0"/>
    <n v="204.15746244892114"/>
    <n v="5496.7430000000004"/>
    <n v="7463.0020000000004"/>
    <n v="0.65155042732652646"/>
    <n v="2353.4511571959779"/>
    <n v="12.848780467169798"/>
    <n v="2.141463411194966"/>
    <m/>
    <n v="8770.0801571959782"/>
    <n v="877.00801571959789"/>
    <n v="0.13667737619232742"/>
    <n v="4.7880676968691205"/>
    <n v="0.7980112828115199"/>
    <n v="35.031896501521402"/>
    <n v="5.8386494169202336"/>
    <n v="34.627628740171751"/>
    <n v="39.415696437040872"/>
    <n v="69.65952524169316"/>
    <n v="5.7712714566952936"/>
    <n v="6.5692827395068134"/>
    <n v="11.609920873615527"/>
    <n v="4"/>
    <n v="3.4627628740171752"/>
    <n v="634.2581160736471"/>
    <n v="9.8846000925664715E-2"/>
    <n v="0"/>
    <m/>
    <m/>
    <n v="96.070737499999993"/>
    <n v="75.646249999999995"/>
    <n v="1.27"/>
    <n v="88.29349999999998"/>
    <n v="74.824999999999989"/>
    <n v="1.18"/>
    <n v="140.02677500000001"/>
    <n v="72.178750000000008"/>
    <n v="1.94"/>
    <n v="149.20898750000001"/>
    <n v="73.349999999999994"/>
    <n v="2.0342056918882077"/>
    <n v="473.6"/>
    <n v="296"/>
    <n v="1.6"/>
    <n v="748.72869749999995"/>
    <n v="24.254249999999999"/>
    <n v="30.87"/>
    <n v="1062.4326925"/>
    <n v="24.217750000000002"/>
    <n v="43.87"/>
    <n v="1108.7402424999998"/>
    <n v="25.394874999999999"/>
    <n v="43.66"/>
    <n v="1343.594367500001"/>
    <n v="28.033125000000005"/>
    <n v="47.928811629099528"/>
    <n v="4263.496000000001"/>
    <n v="101.9"/>
    <n v="41.84"/>
    <n v="75.423052499999997"/>
    <n v="7.2452499999999995"/>
    <n v="10.41"/>
    <n v="112.00098000000001"/>
    <n v="7.6923750000000002"/>
    <n v="14.56"/>
    <n v="111.50275499999999"/>
    <n v="7.4733749999999999"/>
    <n v="14.92"/>
    <n v="138.51021250000002"/>
    <n v="7.4889999999999981"/>
    <n v="18.495154560021373"/>
    <n v="437.43700000000001"/>
    <n v="29.9"/>
    <n v="14.63"/>
    <n v="43.2"/>
    <n v="2.52"/>
    <n v="5.04"/>
    <n v="1.99"/>
    <n v="2.15"/>
    <x v="1"/>
    <n v="3.04"/>
    <n v="4.0199999999999996"/>
    <n v="5"/>
    <n v="5.04"/>
    <n v="6.05"/>
    <n v="33.35"/>
    <n v="45.46"/>
    <n v="44.85"/>
    <n v="49.14"/>
  </r>
  <r>
    <x v="10"/>
    <s v="HES"/>
    <x v="0"/>
    <n v="38"/>
    <n v="15"/>
    <n v="0"/>
    <n v="21.333333333333332"/>
    <n v="128"/>
    <n v="203"/>
    <n v="85"/>
    <n v="0"/>
    <n v="118.83333333333334"/>
    <n v="713"/>
    <n v="140.16666666666669"/>
    <n v="841"/>
    <n v="0.15219976218787157"/>
    <n v="0.296875"/>
    <n v="0.703125"/>
    <n v="0"/>
    <n v="103"/>
    <n v="0"/>
    <n v="71"/>
    <n v="689"/>
    <m/>
    <n v="114.83333333333333"/>
    <m/>
    <m/>
    <m/>
    <n v="32"/>
    <n v="26"/>
    <n v="1"/>
    <n v="13"/>
    <n v="72"/>
    <n v="37"/>
    <n v="17"/>
    <n v="5"/>
    <n v="22"/>
    <n v="81"/>
    <n v="0"/>
    <n v="0"/>
    <n v="0"/>
    <n v="0"/>
    <n v="0"/>
    <n v="558"/>
    <n v="93"/>
    <n v="316"/>
    <n v="137"/>
    <n v="421"/>
    <n v="544"/>
    <n v="1418"/>
    <m/>
    <m/>
    <m/>
    <m/>
    <m/>
    <m/>
    <m/>
    <m/>
    <m/>
    <m/>
    <m/>
    <m/>
    <m/>
    <m/>
    <m/>
    <m/>
    <m/>
    <m/>
    <m/>
    <n v="0"/>
    <n v="0"/>
    <m/>
    <m/>
    <m/>
    <m/>
    <m/>
    <m/>
    <m/>
    <m/>
    <m/>
    <m/>
    <m/>
    <m/>
    <m/>
    <m/>
    <m/>
    <m/>
    <m/>
    <m/>
    <m/>
    <m/>
    <m/>
    <m/>
    <m/>
    <m/>
    <m/>
    <m/>
    <m/>
    <m/>
    <m/>
    <m/>
    <m/>
    <m/>
    <m/>
    <m/>
    <m/>
    <m/>
    <m/>
    <m/>
    <m/>
    <m/>
    <m/>
    <m/>
    <m/>
    <m/>
    <m/>
    <m/>
    <m/>
    <m/>
    <m/>
    <m/>
    <m/>
    <m/>
    <m/>
    <m/>
    <m/>
    <m/>
    <m/>
    <m/>
    <m/>
    <m/>
    <m/>
    <m/>
    <m/>
    <m/>
    <m/>
    <m/>
    <m/>
    <m/>
    <m/>
    <m/>
    <n v="72.34"/>
    <n v="6.97"/>
    <n v="12.91"/>
    <m/>
    <m/>
    <x v="0"/>
    <m/>
    <m/>
    <m/>
    <m/>
    <m/>
    <m/>
    <m/>
    <m/>
    <m/>
  </r>
  <r>
    <x v="10"/>
    <s v="HES"/>
    <x v="1"/>
    <n v="34"/>
    <n v="15"/>
    <n v="0"/>
    <n v="20.666666666666668"/>
    <n v="124"/>
    <n v="238"/>
    <n v="82"/>
    <n v="0"/>
    <n v="121.66666666666666"/>
    <n v="730"/>
    <n v="142.33333333333331"/>
    <n v="854"/>
    <n v="0.14519906323185011"/>
    <n v="0.27419354838709675"/>
    <n v="0.72580645161290314"/>
    <n v="0"/>
    <n v="108"/>
    <n v="0"/>
    <n v="74"/>
    <n v="722"/>
    <n v="33"/>
    <n v="120.33333333333333"/>
    <n v="5.5"/>
    <n v="4.7895500725689405E-2"/>
    <m/>
    <n v="147"/>
    <n v="32"/>
    <n v="2"/>
    <n v="1"/>
    <n v="182"/>
    <n v="9"/>
    <n v="26"/>
    <n v="2"/>
    <n v="1"/>
    <n v="38"/>
    <n v="0"/>
    <n v="0"/>
    <n v="0"/>
    <n v="0"/>
    <n v="0"/>
    <n v="410"/>
    <n v="68.333333333333329"/>
    <n v="642"/>
    <n v="87"/>
    <n v="408"/>
    <n v="698"/>
    <n v="1835"/>
    <m/>
    <m/>
    <m/>
    <m/>
    <m/>
    <m/>
    <m/>
    <m/>
    <m/>
    <m/>
    <m/>
    <m/>
    <m/>
    <m/>
    <m/>
    <m/>
    <m/>
    <m/>
    <m/>
    <n v="0"/>
    <n v="0"/>
    <m/>
    <m/>
    <m/>
    <m/>
    <m/>
    <m/>
    <m/>
    <m/>
    <m/>
    <m/>
    <m/>
    <m/>
    <m/>
    <m/>
    <m/>
    <m/>
    <m/>
    <m/>
    <m/>
    <m/>
    <m/>
    <m/>
    <m/>
    <m/>
    <m/>
    <m/>
    <m/>
    <m/>
    <m/>
    <m/>
    <m/>
    <m/>
    <m/>
    <m/>
    <m/>
    <m/>
    <m/>
    <m/>
    <m/>
    <m/>
    <m/>
    <m/>
    <m/>
    <m/>
    <m/>
    <m/>
    <m/>
    <m/>
    <m/>
    <m/>
    <m/>
    <m/>
    <m/>
    <m/>
    <m/>
    <m/>
    <m/>
    <m/>
    <m/>
    <m/>
    <m/>
    <m/>
    <m/>
    <m/>
    <m/>
    <m/>
    <m/>
    <m/>
    <m/>
    <m/>
    <n v="99.67"/>
    <n v="8.86"/>
    <n v="15.2"/>
    <m/>
    <m/>
    <x v="0"/>
    <m/>
    <m/>
    <m/>
    <m/>
    <m/>
    <m/>
    <m/>
    <m/>
    <m/>
  </r>
  <r>
    <x v="10"/>
    <s v="HES"/>
    <x v="2"/>
    <n v="39"/>
    <n v="26"/>
    <n v="0"/>
    <n v="32.5"/>
    <n v="195"/>
    <n v="231"/>
    <n v="78"/>
    <n v="0"/>
    <n v="116.5"/>
    <n v="699"/>
    <n v="149"/>
    <n v="894"/>
    <n v="0.21812080536912751"/>
    <n v="0.2"/>
    <n v="0.8"/>
    <n v="0"/>
    <n v="95"/>
    <n v="0"/>
    <n v="101"/>
    <n v="671"/>
    <n v="-51"/>
    <n v="111.83333333333333"/>
    <n v="-8.5"/>
    <n v="-7.0637119113573413E-2"/>
    <m/>
    <n v="46"/>
    <n v="23"/>
    <n v="0"/>
    <n v="0"/>
    <n v="69"/>
    <n v="22"/>
    <n v="26"/>
    <n v="0"/>
    <n v="0"/>
    <n v="48"/>
    <n v="0"/>
    <n v="0"/>
    <n v="0"/>
    <n v="0"/>
    <n v="0"/>
    <n v="357"/>
    <n v="59.5"/>
    <n v="184"/>
    <n v="0"/>
    <n v="206"/>
    <n v="816"/>
    <n v="1206"/>
    <n v="4459"/>
    <n v="220.83333333333331"/>
    <n v="1325"/>
    <n v="20.191698113207551"/>
    <n v="3.3652830188679244"/>
    <m/>
    <n v="1805"/>
    <m/>
    <n v="255"/>
    <n v="255"/>
    <n v="1177"/>
    <m/>
    <n v="256.7281879194631"/>
    <m/>
    <n v="0"/>
    <n v="0"/>
    <n v="366"/>
    <m/>
    <n v="79.832214765100673"/>
    <n v="6880"/>
    <n v="6880"/>
    <n v="0.21812080536912751"/>
    <n v="2396.560402684564"/>
    <n v="73.740320082601968"/>
    <n v="12.290053347100327"/>
    <m/>
    <n v="3602.560402684564"/>
    <n v="360.25604026845645"/>
    <n v="0.29871976805012973"/>
    <n v="11.08480123902943"/>
    <n v="1.8474668731715715"/>
    <n v="37.107692307692311"/>
    <n v="6.1846153846153848"/>
    <n v="93.932018195809519"/>
    <n v="105.01681943483895"/>
    <n v="131.03971050350182"/>
    <n v="15.655336365968251"/>
    <n v="17.502803239139823"/>
    <n v="21.839951750583637"/>
    <n v="4"/>
    <n v="9.3932018195809519"/>
    <n v="305.27905913638097"/>
    <n v="0.25313354820595435"/>
    <n v="1437"/>
    <m/>
    <m/>
    <m/>
    <m/>
    <m/>
    <m/>
    <m/>
    <m/>
    <m/>
    <m/>
    <m/>
    <m/>
    <m/>
    <m/>
    <m/>
    <m/>
    <m/>
    <m/>
    <m/>
    <m/>
    <m/>
    <m/>
    <m/>
    <m/>
    <m/>
    <m/>
    <m/>
    <m/>
    <m/>
    <m/>
    <m/>
    <m/>
    <m/>
    <m/>
    <m/>
    <m/>
    <m/>
    <m/>
    <m/>
    <m/>
    <m/>
    <m/>
    <m/>
    <m/>
    <n v="0"/>
    <m/>
    <m/>
    <n v="61.95"/>
    <n v="3.94"/>
    <n v="8.99"/>
    <m/>
    <m/>
    <x v="0"/>
    <m/>
    <m/>
    <m/>
    <m/>
    <m/>
    <m/>
    <m/>
    <m/>
    <m/>
  </r>
  <r>
    <x v="10"/>
    <s v="HES"/>
    <x v="3"/>
    <n v="46"/>
    <n v="32"/>
    <n v="0"/>
    <n v="39.666666666666664"/>
    <n v="238"/>
    <n v="217"/>
    <n v="80"/>
    <n v="0"/>
    <n v="116.16666666666666"/>
    <n v="697"/>
    <n v="155.83333333333331"/>
    <n v="935"/>
    <n v="0.25454545454545452"/>
    <n v="0.19327731092436976"/>
    <n v="0.80672268907563027"/>
    <n v="0"/>
    <n v="124"/>
    <n v="0"/>
    <n v="81"/>
    <n v="825"/>
    <n v="154"/>
    <n v="137.5"/>
    <n v="25.666666666666671"/>
    <n v="0.22950819672131154"/>
    <m/>
    <n v="-7"/>
    <n v="14"/>
    <n v="13"/>
    <n v="0"/>
    <n v="20"/>
    <n v="68"/>
    <n v="3"/>
    <n v="16"/>
    <n v="0"/>
    <n v="87"/>
    <n v="0"/>
    <n v="0"/>
    <n v="0"/>
    <n v="0"/>
    <n v="0"/>
    <n v="542"/>
    <n v="90.333333333333329"/>
    <n v="1849"/>
    <n v="443"/>
    <n v="185"/>
    <n v="1026"/>
    <n v="3503"/>
    <n v="6544"/>
    <n v="218.16666666666666"/>
    <n v="1309"/>
    <n v="29.995416348357526"/>
    <n v="4.9992360580595872"/>
    <m/>
    <n v="589"/>
    <m/>
    <n v="161"/>
    <n v="161"/>
    <n v="1450"/>
    <m/>
    <n v="369.09090909090907"/>
    <m/>
    <n v="0"/>
    <n v="0"/>
    <n v="366"/>
    <m/>
    <n v="93.163636363636357"/>
    <n v="8608"/>
    <n v="8608"/>
    <n v="0.25454545454545452"/>
    <n v="1212.2545454545455"/>
    <n v="30.561038961038964"/>
    <n v="5.0935064935064931"/>
    <m/>
    <n v="4715.2545454545452"/>
    <n v="471.52545454545452"/>
    <n v="0.13460618171437469"/>
    <n v="11.887196333078686"/>
    <n v="1.9811993888464476"/>
    <n v="88.310924369747909"/>
    <n v="14.718487394957982"/>
    <n v="60.55645530939649"/>
    <n v="72.443651642475174"/>
    <n v="148.86737967914439"/>
    <n v="10.092742551566079"/>
    <n v="12.073941940412528"/>
    <n v="24.811229946524062"/>
    <n v="4"/>
    <n v="6.0556455309396489"/>
    <n v="240.20727272727274"/>
    <n v="6.8571873459112975E-2"/>
    <n v="1783"/>
    <m/>
    <m/>
    <m/>
    <m/>
    <m/>
    <m/>
    <m/>
    <m/>
    <m/>
    <m/>
    <m/>
    <m/>
    <m/>
    <m/>
    <m/>
    <m/>
    <m/>
    <m/>
    <m/>
    <m/>
    <m/>
    <m/>
    <m/>
    <m/>
    <m/>
    <m/>
    <m/>
    <m/>
    <m/>
    <m/>
    <m/>
    <m/>
    <m/>
    <m/>
    <m/>
    <m/>
    <m/>
    <m/>
    <m/>
    <m/>
    <m/>
    <m/>
    <m/>
    <m/>
    <n v="0"/>
    <m/>
    <m/>
    <n v="79.48"/>
    <n v="4.37"/>
    <n v="11.83"/>
    <m/>
    <m/>
    <x v="0"/>
    <m/>
    <m/>
    <m/>
    <m/>
    <m/>
    <m/>
    <m/>
    <m/>
    <m/>
  </r>
  <r>
    <x v="10"/>
    <s v="HES"/>
    <x v="4"/>
    <n v="42"/>
    <n v="34"/>
    <n v="0"/>
    <n v="41"/>
    <n v="246"/>
    <n v="202"/>
    <n v="63"/>
    <n v="0"/>
    <n v="96.666666666666657"/>
    <n v="580"/>
    <n v="137.66666666666666"/>
    <n v="826"/>
    <n v="0.29782082324455206"/>
    <n v="0.17073170731707318"/>
    <n v="0.82926829268292679"/>
    <n v="0"/>
    <n v="183"/>
    <n v="0"/>
    <n v="161"/>
    <n v="1259"/>
    <n v="434"/>
    <n v="209.83333333333334"/>
    <n v="72.333333333333343"/>
    <n v="0.52606060606060612"/>
    <m/>
    <n v="36"/>
    <n v="85"/>
    <n v="1"/>
    <n v="0"/>
    <n v="122"/>
    <n v="33"/>
    <n v="70"/>
    <n v="0"/>
    <n v="0"/>
    <n v="103"/>
    <n v="0"/>
    <n v="0"/>
    <n v="0"/>
    <n v="0"/>
    <n v="0"/>
    <n v="740"/>
    <n v="123.33333333333333"/>
    <n v="992"/>
    <n v="6"/>
    <n v="93"/>
    <n v="1979"/>
    <n v="3070"/>
    <n v="7779"/>
    <n v="273.16666666666663"/>
    <n v="1639"/>
    <n v="28.477120195241003"/>
    <n v="4.7461866992068336"/>
    <m/>
    <n v="531"/>
    <m/>
    <n v="190"/>
    <n v="190"/>
    <n v="1384"/>
    <m/>
    <n v="412.18401937046002"/>
    <m/>
    <n v="129"/>
    <n v="129"/>
    <n v="396"/>
    <m/>
    <n v="117.93704600484261"/>
    <n v="10586"/>
    <n v="10586"/>
    <n v="0.29782082324455206"/>
    <n v="1380.1210653753026"/>
    <n v="33.661489399397624"/>
    <n v="5.6102482332329373"/>
    <m/>
    <n v="4450.1210653753024"/>
    <n v="445.01210653753026"/>
    <n v="0.14495508356271344"/>
    <n v="10.853953817988543"/>
    <n v="1.8089923029980906"/>
    <n v="74.878048780487802"/>
    <n v="12.479674796747968"/>
    <n v="62.138609594638623"/>
    <n v="72.992563412627163"/>
    <n v="137.01665837512644"/>
    <n v="10.356434932439772"/>
    <n v="12.165427235437862"/>
    <n v="22.83610972918774"/>
    <n v="4"/>
    <n v="6.2138609594638625"/>
    <n v="254.76829933801835"/>
    <n v="8.2986416722481554E-2"/>
    <n v="2022"/>
    <m/>
    <m/>
    <m/>
    <m/>
    <m/>
    <m/>
    <m/>
    <m/>
    <m/>
    <m/>
    <m/>
    <m/>
    <m/>
    <m/>
    <m/>
    <m/>
    <m/>
    <m/>
    <m/>
    <m/>
    <m/>
    <m/>
    <m/>
    <m/>
    <m/>
    <m/>
    <m/>
    <m/>
    <m/>
    <m/>
    <m/>
    <m/>
    <m/>
    <m/>
    <m/>
    <m/>
    <m/>
    <m/>
    <m/>
    <m/>
    <m/>
    <m/>
    <m/>
    <m/>
    <m/>
    <m/>
    <m/>
    <n v="94.88"/>
    <n v="4"/>
    <n v="15.12"/>
    <m/>
    <m/>
    <x v="0"/>
    <m/>
    <m/>
    <m/>
    <m/>
    <m/>
    <m/>
    <m/>
    <m/>
    <m/>
  </r>
  <r>
    <x v="10"/>
    <s v="HES"/>
    <x v="5"/>
    <n v="50"/>
    <n v="45"/>
    <n v="0"/>
    <n v="53.333333333333336"/>
    <n v="320"/>
    <n v="194"/>
    <n v="65"/>
    <n v="0"/>
    <n v="97.333333333333343"/>
    <n v="584"/>
    <n v="150.66666666666669"/>
    <n v="904"/>
    <n v="0.35398230088495575"/>
    <n v="0.15625"/>
    <n v="0.84375"/>
    <n v="0"/>
    <n v="193"/>
    <n v="0"/>
    <n v="168"/>
    <n v="1326"/>
    <n v="67"/>
    <n v="221"/>
    <n v="11.166666666666657"/>
    <n v="5.3216838760921321E-2"/>
    <m/>
    <n v="10"/>
    <n v="76"/>
    <n v="0"/>
    <n v="4"/>
    <n v="90"/>
    <n v="32"/>
    <n v="108"/>
    <n v="0"/>
    <n v="7"/>
    <n v="147"/>
    <n v="0"/>
    <n v="0"/>
    <n v="0"/>
    <n v="0"/>
    <n v="0"/>
    <n v="972"/>
    <n v="162"/>
    <n v="179"/>
    <n v="0"/>
    <n v="86"/>
    <n v="3521"/>
    <n v="3786"/>
    <n v="10359"/>
    <n v="375.66666666666663"/>
    <n v="2254"/>
    <n v="27.574977817213846"/>
    <n v="4.595829636202307"/>
    <m/>
    <n v="758"/>
    <m/>
    <n v="196"/>
    <n v="196"/>
    <n v="1822"/>
    <m/>
    <n v="644.95575221238937"/>
    <m/>
    <n v="199"/>
    <n v="199"/>
    <n v="447"/>
    <m/>
    <n v="158.23008849557522"/>
    <n v="12196"/>
    <n v="12196"/>
    <n v="0.35398230088495575"/>
    <n v="1956.1858407079646"/>
    <n v="36.678484513274334"/>
    <n v="6.1130807522123893"/>
    <m/>
    <n v="5742.1858407079644"/>
    <n v="574.21858407079651"/>
    <n v="0.1516689339859473"/>
    <n v="10.766598451327434"/>
    <n v="1.7944330752212392"/>
    <n v="70.987499999999997"/>
    <n v="11.831250000000001"/>
    <n v="64.253462330488176"/>
    <n v="75.020060781815616"/>
    <n v="135.24096233048817"/>
    <n v="10.708910388414697"/>
    <n v="12.503343463635936"/>
    <n v="22.540160388414698"/>
    <n v="4"/>
    <n v="6.4253462330488178"/>
    <n v="342.68513242927031"/>
    <n v="9.0513769791143769E-2"/>
    <n v="2259"/>
    <m/>
    <m/>
    <n v="15.96875"/>
    <n v="9.125"/>
    <n v="1.75"/>
    <n v="17.113937499999999"/>
    <n v="11.04125"/>
    <n v="1.55"/>
    <n v="23.075300000000002"/>
    <n v="10.585000000000001"/>
    <n v="2.1800000000000002"/>
    <n v="34.621162499999983"/>
    <n v="12.683749999999996"/>
    <n v="2.7295683453237403"/>
    <n v="90.779149999999987"/>
    <n v="43.434999999999995"/>
    <n v="2.09"/>
    <n v="831.50649999999996"/>
    <n v="8.6687499999999993"/>
    <n v="95.92"/>
    <n v="914.75661249999996"/>
    <n v="9.9462499999999991"/>
    <n v="91.97"/>
    <n v="896.85336249999989"/>
    <n v="9.9462499999999991"/>
    <n v="90.17"/>
    <n v="1114.3979250000002"/>
    <n v="10.858750000000004"/>
    <n v="102.62672268907561"/>
    <n v="3757.5144"/>
    <n v="39.42"/>
    <n v="95.32"/>
    <n v="62.929650000000002"/>
    <n v="1.2775000000000001"/>
    <n v="49.26"/>
    <n v="55.776562499999997"/>
    <n v="1.3687499999999999"/>
    <n v="40.75"/>
    <n v="55.991"/>
    <n v="1.46"/>
    <n v="38.35"/>
    <n v="63.282787499999976"/>
    <n v="1.7337499999999999"/>
    <n v="36.500526315789465"/>
    <n v="237.98"/>
    <n v="5.84"/>
    <n v="40.75"/>
    <n v="94.05"/>
    <n v="2.75"/>
    <n v="10.98"/>
    <n v="2.41"/>
    <n v="2.2799999999999998"/>
    <x v="1"/>
    <n v="3.4"/>
    <n v="13.14"/>
    <n v="10.75"/>
    <n v="9.9600000000000009"/>
    <n v="10.08"/>
    <n v="102.98"/>
    <n v="93.29"/>
    <n v="92.17"/>
    <n v="88.01"/>
  </r>
  <r>
    <x v="10"/>
    <s v="HES"/>
    <x v="6"/>
    <n v="51"/>
    <n v="45"/>
    <n v="0"/>
    <n v="53.5"/>
    <n v="321"/>
    <n v="169"/>
    <n v="43"/>
    <n v="0"/>
    <n v="71.166666666666671"/>
    <n v="427"/>
    <n v="124.66666666666667"/>
    <n v="748"/>
    <n v="0.42914438502673796"/>
    <n v="0.15887850467289719"/>
    <n v="0.84112149532710279"/>
    <n v="0"/>
    <n v="242"/>
    <n v="62"/>
    <n v="185"/>
    <n v="2009"/>
    <n v="683"/>
    <n v="334.83333333333331"/>
    <n v="113.83333333333331"/>
    <n v="0.51508295625942679"/>
    <m/>
    <n v="-12"/>
    <n v="131"/>
    <n v="0"/>
    <n v="0"/>
    <n v="119"/>
    <n v="-55"/>
    <n v="211"/>
    <n v="0"/>
    <n v="0"/>
    <n v="156"/>
    <n v="0"/>
    <n v="0"/>
    <n v="0"/>
    <n v="0"/>
    <n v="0"/>
    <n v="1055"/>
    <n v="175.83333333333334"/>
    <n v="55"/>
    <n v="0"/>
    <n v="32"/>
    <n v="2109"/>
    <n v="2196"/>
    <n v="9052"/>
    <n v="461.16666666666663"/>
    <n v="2767"/>
    <n v="19.628478496566679"/>
    <n v="3.271413082761113"/>
    <m/>
    <n v="675"/>
    <m/>
    <n v="203"/>
    <n v="203"/>
    <n v="1353"/>
    <m/>
    <n v="580.63235294117646"/>
    <m/>
    <n v="232"/>
    <n v="232"/>
    <n v="466"/>
    <m/>
    <n v="199.98128342245988"/>
    <n v="11849"/>
    <n v="11849"/>
    <n v="0.42914438502673796"/>
    <n v="1890.6136363636365"/>
    <n v="35.338572642310965"/>
    <n v="5.8897621070518271"/>
    <m/>
    <n v="4086.6136363636365"/>
    <n v="408.66136363636366"/>
    <n v="0.18609351713859912"/>
    <n v="7.638530161427358"/>
    <n v="1.2730883602378931"/>
    <n v="41.046728971962615"/>
    <n v="6.8411214953271031"/>
    <n v="54.967051138877643"/>
    <n v="62.605581300305005"/>
    <n v="96.013780110840258"/>
    <n v="9.1611751898129405"/>
    <n v="10.434263550050833"/>
    <n v="16.002296685140045"/>
    <n v="4"/>
    <n v="5.4967051138877645"/>
    <n v="294.07372359299541"/>
    <n v="0.13391335318442413"/>
    <n v="2045"/>
    <m/>
    <m/>
    <n v="32.6465125"/>
    <n v="12.13625"/>
    <n v="2.69"/>
    <n v="40.914675000000003"/>
    <n v="12.866249999999999"/>
    <n v="3.18"/>
    <n v="27.904249999999998"/>
    <n v="10.0375"/>
    <n v="2.78"/>
    <n v="32.504162499999985"/>
    <n v="10.220000000000001"/>
    <n v="3.1804464285714271"/>
    <n v="133.96959999999999"/>
    <n v="45.26"/>
    <n v="2.96"/>
    <n v="1000.5005875000002"/>
    <n v="10.311250000000001"/>
    <n v="97.03"/>
    <n v="984.5145"/>
    <n v="10.12875"/>
    <n v="97.2"/>
    <n v="937.99524999999994"/>
    <n v="9.3987499999999997"/>
    <n v="99.8"/>
    <n v="841.59966250000002"/>
    <n v="9.5812500000000007"/>
    <n v="87.838190476190476"/>
    <n v="3764.61"/>
    <n v="39.42"/>
    <n v="95.5"/>
    <n v="57.846112499999997"/>
    <n v="1.55125"/>
    <n v="37.29"/>
    <n v="50.472200000000001"/>
    <n v="1.46"/>
    <n v="34.57"/>
    <n v="56.159812500000001"/>
    <n v="1.3687499999999999"/>
    <n v="41.03"/>
    <n v="43.955125000000002"/>
    <n v="1.0949999999999993"/>
    <n v="40.141666666666694"/>
    <n v="208.43324999999999"/>
    <n v="5.4749999999999996"/>
    <n v="38.07"/>
    <n v="97.98"/>
    <n v="3.73"/>
    <n v="9.94"/>
    <n v="3.49"/>
    <n v="4.01"/>
    <x v="2"/>
    <n v="3.85"/>
    <n v="9.77"/>
    <n v="9.39"/>
    <n v="10.01"/>
    <n v="10.53"/>
    <n v="94.33"/>
    <n v="94.05"/>
    <n v="105.83"/>
    <n v="97.44"/>
  </r>
  <r>
    <x v="10"/>
    <s v="HES"/>
    <x v="7"/>
    <n v="66"/>
    <n v="46"/>
    <n v="8"/>
    <n v="65"/>
    <n v="390"/>
    <n v="131"/>
    <n v="35"/>
    <n v="0"/>
    <n v="56.833333333333329"/>
    <n v="341"/>
    <n v="121.83333333333333"/>
    <n v="731"/>
    <n v="0.53351573187414503"/>
    <n v="0.16923076923076924"/>
    <n v="0.70769230769230773"/>
    <n v="0.12307692307692308"/>
    <n v="248"/>
    <n v="63"/>
    <n v="270"/>
    <n v="2136"/>
    <n v="127"/>
    <n v="356"/>
    <n v="21.166666666666686"/>
    <n v="6.3215530114484872E-2"/>
    <m/>
    <n v="58"/>
    <n v="184"/>
    <n v="0"/>
    <n v="0"/>
    <n v="242"/>
    <n v="-26"/>
    <n v="115"/>
    <n v="0"/>
    <n v="0"/>
    <n v="89"/>
    <n v="-8"/>
    <n v="22"/>
    <n v="0"/>
    <n v="0"/>
    <n v="14"/>
    <n v="860"/>
    <n v="143.33333333333334"/>
    <n v="21"/>
    <n v="0"/>
    <n v="28"/>
    <n v="2665"/>
    <n v="2714"/>
    <n v="8696"/>
    <n v="481.16666666666674"/>
    <n v="2887"/>
    <n v="18.072739868375475"/>
    <n v="3.0121233113959125"/>
    <m/>
    <n v="731"/>
    <m/>
    <n v="482"/>
    <n v="482"/>
    <n v="455"/>
    <m/>
    <n v="242.749658002736"/>
    <m/>
    <n v="240"/>
    <n v="240"/>
    <n v="397"/>
    <m/>
    <n v="211.80574555403558"/>
    <n v="10702"/>
    <n v="10702"/>
    <n v="0.53351573187414503"/>
    <n v="1907.5554035567716"/>
    <n v="29.347006208565716"/>
    <n v="4.8911677014276194"/>
    <m/>
    <n v="4621.5554035567711"/>
    <n v="462.15554035567715"/>
    <n v="0.17028575547372038"/>
    <n v="7.1100852362411873"/>
    <n v="1.1850142060401978"/>
    <n v="41.753846153846155"/>
    <n v="6.9589743589743591"/>
    <n v="47.419746076941195"/>
    <n v="54.529831313182385"/>
    <n v="89.173592230787349"/>
    <n v="7.9032910128235319"/>
    <n v="9.088305218863729"/>
    <n v="14.862265371797891"/>
    <n v="4"/>
    <n v="4.7419746076941198"/>
    <n v="308.22834950011782"/>
    <n v="0.11356976768611562"/>
    <n v="1416"/>
    <m/>
    <m/>
    <n v="53.859399999999994"/>
    <n v="10.858749999999999"/>
    <n v="4.96"/>
    <n v="69.698574999999991"/>
    <n v="16.516249999999999"/>
    <n v="4.22"/>
    <n v="45.250875000000001"/>
    <n v="15.8775"/>
    <n v="2.85"/>
    <n v="40.171900000000043"/>
    <n v="16.972500000000004"/>
    <n v="2.3668817204301096"/>
    <n v="208.98075000000003"/>
    <n v="60.225000000000001"/>
    <n v="3.47"/>
    <n v="1000.73145"/>
    <n v="10.7675"/>
    <n v="92.94"/>
    <n v="1119.7050250000002"/>
    <n v="11.588750000000001"/>
    <n v="96.62"/>
    <n v="1043.3296875000001"/>
    <n v="11.40625"/>
    <n v="91.47"/>
    <n v="878.8533874999996"/>
    <n v="12.592500000000003"/>
    <n v="69.791811594202855"/>
    <n v="4042.6195499999999"/>
    <n v="46.355000000000004"/>
    <n v="87.21"/>
    <n v="41.695774999999998"/>
    <n v="1.0037499999999999"/>
    <n v="41.54"/>
    <n v="64.586749999999995"/>
    <n v="1.825"/>
    <n v="35.39"/>
    <n v="76.317850000000007"/>
    <n v="2.6462500000000002"/>
    <n v="28.84"/>
    <n v="63.541024999999962"/>
    <n v="2.919999999999999"/>
    <n v="21.760624999999994"/>
    <n v="246.14139999999998"/>
    <n v="8.3949999999999996"/>
    <n v="29.32"/>
    <n v="93.17"/>
    <n v="4.37"/>
    <n v="9.56"/>
    <n v="5.21"/>
    <n v="4.6100000000000003"/>
    <x v="3"/>
    <n v="3.8"/>
    <n v="11.19"/>
    <n v="10.15"/>
    <n v="9.83"/>
    <n v="7.41"/>
    <n v="98.68"/>
    <n v="103.35"/>
    <n v="97.87"/>
    <n v="73.209999999999994"/>
  </r>
  <r>
    <x v="10"/>
    <s v="HES"/>
    <x v="8"/>
    <n v="104"/>
    <n v="54"/>
    <n v="14"/>
    <n v="85.333333333333329"/>
    <n v="512"/>
    <n v="123"/>
    <n v="33"/>
    <n v="0"/>
    <n v="53.5"/>
    <n v="321"/>
    <n v="138.83333333333331"/>
    <n v="833"/>
    <n v="0.61464585834333729"/>
    <n v="0.203125"/>
    <n v="0.6328125"/>
    <n v="0.1640625"/>
    <n v="93"/>
    <n v="23"/>
    <n v="137"/>
    <n v="833"/>
    <n v="-1303"/>
    <n v="138.83333333333334"/>
    <n v="-217.16666666666666"/>
    <n v="-0.61001872659176026"/>
    <m/>
    <n v="-113"/>
    <n v="102"/>
    <n v="0"/>
    <n v="0"/>
    <n v="-11"/>
    <n v="-157"/>
    <n v="45"/>
    <n v="0"/>
    <n v="0"/>
    <n v="-112"/>
    <n v="-42"/>
    <n v="11"/>
    <n v="0"/>
    <n v="0"/>
    <n v="-31"/>
    <n v="-869"/>
    <n v="-144.83333333333331"/>
    <n v="22"/>
    <n v="0"/>
    <n v="210"/>
    <n v="2263"/>
    <n v="2495"/>
    <n v="7405"/>
    <n v="174.33333333333337"/>
    <n v="1046"/>
    <n v="42.476099426386227"/>
    <n v="7.0793499043977057"/>
    <m/>
    <n v="786"/>
    <m/>
    <n v="711"/>
    <n v="711"/>
    <n v="140"/>
    <m/>
    <n v="86.05042016806722"/>
    <m/>
    <n v="138"/>
    <n v="138"/>
    <n v="376"/>
    <m/>
    <n v="231.10684273709481"/>
    <n v="6554"/>
    <n v="6554"/>
    <n v="0.61464585834333729"/>
    <n v="1952.157262905162"/>
    <n v="22.876842924669869"/>
    <n v="3.8128071541116446"/>
    <m/>
    <n v="4447.1572629051625"/>
    <n v="444.71572629051627"/>
    <n v="0.17824277606834318"/>
    <n v="5.211512417466988"/>
    <n v="0.86858540291116459"/>
    <n v="29.23828125"/>
    <n v="4.873046875"/>
    <n v="65.3529423510561"/>
    <n v="70.564454768523092"/>
    <n v="94.5912236010561"/>
    <n v="10.892157058509351"/>
    <n v="11.760742461420516"/>
    <n v="15.765203933509351"/>
    <n v="4"/>
    <n v="6.53529423510561"/>
    <n v="557.67844139567865"/>
    <n v="0.22351841338504155"/>
    <n v="1415"/>
    <m/>
    <m/>
    <n v="39.629874999999998"/>
    <n v="18.432500000000001"/>
    <n v="2.15"/>
    <n v="46.493699999999997"/>
    <n v="24.09"/>
    <n v="1.93"/>
    <n v="49.581599999999995"/>
    <n v="25.823749999999997"/>
    <n v="1.92"/>
    <n v="32.26782500000003"/>
    <n v="26.553750000000001"/>
    <n v="1.2151890034364272"/>
    <n v="167.97300000000001"/>
    <n v="94.9"/>
    <n v="1.77"/>
    <n v="512.7885"/>
    <n v="12.775"/>
    <n v="40.14"/>
    <n v="762.87281250000001"/>
    <n v="14.32625"/>
    <n v="53.25"/>
    <n v="573.24709999999993"/>
    <n v="13.87"/>
    <n v="41.33"/>
    <n v="512.44813749999946"/>
    <n v="12.683749999999995"/>
    <n v="40.401942446043144"/>
    <n v="2361.3565499999995"/>
    <n v="53.654999999999994"/>
    <n v="44.01"/>
    <n v="44.893174999999999"/>
    <n v="3.1025"/>
    <n v="14.47"/>
    <n v="38.179000000000002"/>
    <n v="3.65"/>
    <n v="10.46"/>
    <n v="23.808037500000001"/>
    <n v="3.5587499999999999"/>
    <n v="6.69"/>
    <n v="32.09718749999999"/>
    <n v="3.558749999999999"/>
    <n v="9.0192307692307683"/>
    <n v="138.97739999999999"/>
    <n v="13.87"/>
    <n v="10.02"/>
    <n v="48.66"/>
    <n v="2.62"/>
    <n v="4.97"/>
    <n v="2.9"/>
    <n v="2.75"/>
    <x v="4"/>
    <n v="2.12"/>
    <n v="5.43"/>
    <n v="5.2"/>
    <n v="4.68"/>
    <n v="4.5999999999999996"/>
    <n v="48.49"/>
    <n v="57.85"/>
    <n v="46.64"/>
    <n v="41.94"/>
  </r>
  <r>
    <x v="10"/>
    <s v="HES"/>
    <x v="9"/>
    <n v="104"/>
    <n v="45"/>
    <n v="16"/>
    <n v="78.333333333333329"/>
    <n v="470"/>
    <n v="102"/>
    <n v="25"/>
    <n v="0"/>
    <n v="42"/>
    <n v="252"/>
    <n v="120.33333333333333"/>
    <n v="722"/>
    <n v="0.65096952908587258"/>
    <n v="0.22127659574468084"/>
    <n v="0.57446808510638303"/>
    <n v="0.20425531914893619"/>
    <n v="110"/>
    <n v="27"/>
    <n v="186"/>
    <n v="1008"/>
    <n v="175"/>
    <n v="168"/>
    <n v="29.166666666666657"/>
    <n v="0.2100840336134453"/>
    <m/>
    <n v="116"/>
    <n v="83"/>
    <n v="0"/>
    <n v="0"/>
    <n v="199"/>
    <n v="42"/>
    <n v="12"/>
    <n v="0"/>
    <n v="0"/>
    <n v="54"/>
    <n v="23"/>
    <n v="5"/>
    <n v="0"/>
    <n v="0"/>
    <n v="28"/>
    <n v="691"/>
    <n v="115.16666666666666"/>
    <n v="11"/>
    <n v="0"/>
    <n v="198"/>
    <n v="818"/>
    <n v="1027"/>
    <n v="6236"/>
    <n v="113.66666666666669"/>
    <n v="682"/>
    <n v="54.86217008797653"/>
    <n v="9.1436950146627574"/>
    <m/>
    <n v="955"/>
    <m/>
    <n v="696"/>
    <n v="696"/>
    <n v="-132"/>
    <m/>
    <n v="-85.927977839335185"/>
    <m/>
    <n v="94"/>
    <n v="94"/>
    <n v="380"/>
    <m/>
    <n v="247.36842105263159"/>
    <n v="4669"/>
    <n v="4669"/>
    <n v="0.65096952908587258"/>
    <n v="1906.4404432132965"/>
    <n v="24.337537572935702"/>
    <n v="4.0562562621559497"/>
    <m/>
    <n v="2933.4404432132965"/>
    <n v="293.34404432132965"/>
    <n v="0.28563198083868513"/>
    <n v="3.7448175870808043"/>
    <n v="0.62413626451346738"/>
    <n v="13.110638297872342"/>
    <n v="2.1851063829787236"/>
    <n v="79.199707660912225"/>
    <n v="82.944525247993028"/>
    <n v="92.310345958784566"/>
    <n v="13.199951276818707"/>
    <n v="13.824087541332174"/>
    <n v="15.385057659797431"/>
    <n v="4"/>
    <n v="7.9199707660912226"/>
    <n v="620.39771001047905"/>
    <n v="0.60408735151945381"/>
    <n v="597"/>
    <m/>
    <m/>
    <n v="31.984950000000005"/>
    <n v="25.185000000000002"/>
    <n v="1.27"/>
    <n v="29.957375000000003"/>
    <n v="22.356249999999999"/>
    <n v="1.34"/>
    <n v="41.144625000000005"/>
    <n v="24.637500000000003"/>
    <n v="1.67"/>
    <n v="48.526750000000021"/>
    <n v="21.991249999999994"/>
    <n v="2.2066390041493791"/>
    <n v="151.61370000000002"/>
    <n v="94.17"/>
    <n v="1.61"/>
    <n v="329.40885000000003"/>
    <n v="12.227500000000001"/>
    <n v="26.94"/>
    <n v="430.91535000000005"/>
    <n v="10.7675"/>
    <n v="40.020000000000003"/>
    <n v="437.84122500000001"/>
    <n v="11.1325"/>
    <n v="39.33"/>
    <n v="455.233475"/>
    <n v="10.402500000000002"/>
    <n v="43.761929824561399"/>
    <n v="1653.3989000000001"/>
    <n v="44.53"/>
    <n v="37.130000000000003"/>
    <n v="30.221999999999998"/>
    <n v="4.1974999999999998"/>
    <n v="7.2"/>
    <n v="34.685949999999998"/>
    <n v="3.9237499999999996"/>
    <n v="8.84"/>
    <n v="36.134999999999998"/>
    <n v="4.0149999999999997"/>
    <n v="9"/>
    <n v="51.355500000000021"/>
    <n v="3.5587499999999999"/>
    <n v="14.430769230769236"/>
    <n v="152.39845"/>
    <n v="15.694999999999999"/>
    <n v="9.7100000000000009"/>
    <n v="43.2"/>
    <n v="2.52"/>
    <n v="5.04"/>
    <n v="1.99"/>
    <n v="2.15"/>
    <x v="1"/>
    <n v="3.04"/>
    <n v="4.0199999999999996"/>
    <n v="5"/>
    <n v="5.04"/>
    <n v="6.05"/>
    <n v="33.35"/>
    <n v="45.46"/>
    <n v="44.85"/>
    <n v="49.14"/>
  </r>
  <r>
    <x v="11"/>
    <s v="MRO"/>
    <x v="0"/>
    <n v="174"/>
    <n v="23"/>
    <m/>
    <n v="52"/>
    <n v="312"/>
    <n v="132"/>
    <n v="46"/>
    <m/>
    <n v="68"/>
    <n v="408"/>
    <n v="120"/>
    <n v="720"/>
    <n v="0.43333333333333335"/>
    <n v="0.55769230769230771"/>
    <n v="0.44230769230769229"/>
    <n v="0"/>
    <n v="31"/>
    <n v="0"/>
    <n v="246"/>
    <n v="432"/>
    <m/>
    <n v="72"/>
    <m/>
    <m/>
    <m/>
    <n v="-36"/>
    <n v="148"/>
    <n v="1"/>
    <n v="0"/>
    <n v="113"/>
    <n v="2"/>
    <n v="5"/>
    <n v="2"/>
    <n v="8"/>
    <n v="17"/>
    <n v="0"/>
    <n v="0"/>
    <n v="0"/>
    <n v="0"/>
    <n v="0"/>
    <n v="215"/>
    <n v="35.833333333333329"/>
    <n v="142"/>
    <n v="4"/>
    <n v="523"/>
    <n v="697"/>
    <n v="1366"/>
    <m/>
    <m/>
    <m/>
    <m/>
    <m/>
    <m/>
    <m/>
    <m/>
    <m/>
    <m/>
    <m/>
    <m/>
    <m/>
    <m/>
    <m/>
    <m/>
    <m/>
    <m/>
    <m/>
    <n v="0"/>
    <n v="0"/>
    <m/>
    <m/>
    <m/>
    <m/>
    <m/>
    <m/>
    <m/>
    <m/>
    <m/>
    <m/>
    <m/>
    <m/>
    <m/>
    <m/>
    <m/>
    <m/>
    <m/>
    <m/>
    <m/>
    <m/>
    <m/>
    <m/>
    <m/>
    <m/>
    <m/>
    <m/>
    <m/>
    <m/>
    <m/>
    <m/>
    <m/>
    <m/>
    <m/>
    <m/>
    <m/>
    <m/>
    <m/>
    <m/>
    <m/>
    <m/>
    <m/>
    <m/>
    <m/>
    <m/>
    <m/>
    <m/>
    <m/>
    <m/>
    <m/>
    <m/>
    <m/>
    <m/>
    <m/>
    <m/>
    <m/>
    <m/>
    <m/>
    <m/>
    <m/>
    <m/>
    <m/>
    <m/>
    <m/>
    <m/>
    <m/>
    <m/>
    <m/>
    <m/>
    <m/>
    <m/>
    <n v="72.34"/>
    <n v="6.97"/>
    <n v="12.91"/>
    <m/>
    <m/>
    <x v="0"/>
    <m/>
    <m/>
    <m/>
    <m/>
    <m/>
    <m/>
    <m/>
    <m/>
    <m/>
  </r>
  <r>
    <x v="11"/>
    <s v="MRO"/>
    <x v="1"/>
    <n v="164"/>
    <n v="23"/>
    <m/>
    <n v="50.333333333333329"/>
    <n v="302"/>
    <n v="183"/>
    <n v="52"/>
    <m/>
    <n v="82.5"/>
    <n v="495"/>
    <n v="132.83333333333331"/>
    <n v="797"/>
    <n v="0.37892095357590966"/>
    <n v="0.54304635761589404"/>
    <n v="0.45695364238410602"/>
    <n v="0"/>
    <n v="41"/>
    <n v="0"/>
    <n v="246"/>
    <n v="492"/>
    <n v="60"/>
    <n v="82"/>
    <n v="10"/>
    <n v="0.1388888888888889"/>
    <m/>
    <n v="79"/>
    <n v="165"/>
    <n v="0"/>
    <n v="0"/>
    <n v="244"/>
    <n v="3"/>
    <n v="31"/>
    <n v="0"/>
    <n v="1"/>
    <n v="35"/>
    <n v="0"/>
    <n v="0"/>
    <n v="0"/>
    <n v="0"/>
    <n v="0"/>
    <n v="454"/>
    <n v="75.666666666666657"/>
    <n v="397"/>
    <n v="3"/>
    <n v="738"/>
    <n v="1072"/>
    <n v="2210"/>
    <m/>
    <m/>
    <m/>
    <m/>
    <m/>
    <m/>
    <m/>
    <m/>
    <m/>
    <m/>
    <m/>
    <m/>
    <m/>
    <m/>
    <m/>
    <m/>
    <m/>
    <m/>
    <m/>
    <n v="0"/>
    <n v="0"/>
    <m/>
    <m/>
    <m/>
    <m/>
    <m/>
    <m/>
    <m/>
    <m/>
    <m/>
    <m/>
    <m/>
    <m/>
    <m/>
    <m/>
    <m/>
    <m/>
    <m/>
    <m/>
    <m/>
    <m/>
    <m/>
    <m/>
    <m/>
    <m/>
    <m/>
    <m/>
    <m/>
    <m/>
    <m/>
    <m/>
    <m/>
    <m/>
    <m/>
    <m/>
    <m/>
    <m/>
    <m/>
    <m/>
    <m/>
    <m/>
    <m/>
    <m/>
    <m/>
    <m/>
    <m/>
    <m/>
    <m/>
    <m/>
    <m/>
    <m/>
    <m/>
    <m/>
    <m/>
    <m/>
    <m/>
    <m/>
    <m/>
    <m/>
    <m/>
    <m/>
    <m/>
    <m/>
    <m/>
    <m/>
    <m/>
    <m/>
    <m/>
    <m/>
    <m/>
    <m/>
    <n v="99.67"/>
    <n v="8.86"/>
    <n v="15.2"/>
    <m/>
    <m/>
    <x v="0"/>
    <m/>
    <m/>
    <m/>
    <m/>
    <m/>
    <m/>
    <m/>
    <m/>
    <m/>
  </r>
  <r>
    <x v="11"/>
    <s v="MRO"/>
    <x v="2"/>
    <n v="146"/>
    <n v="23"/>
    <m/>
    <n v="47.333333333333329"/>
    <n v="284"/>
    <n v="199"/>
    <n v="65"/>
    <m/>
    <n v="98.166666666666657"/>
    <n v="589"/>
    <n v="145.5"/>
    <n v="873"/>
    <n v="0.32531500572737687"/>
    <n v="0.5140845070422535"/>
    <n v="0.48591549295774655"/>
    <n v="0"/>
    <n v="50"/>
    <n v="0"/>
    <n v="168"/>
    <n v="468"/>
    <n v="-24"/>
    <n v="78"/>
    <n v="-4"/>
    <n v="-4.878048780487805E-2"/>
    <m/>
    <n v="-139"/>
    <n v="80"/>
    <n v="0"/>
    <n v="0"/>
    <n v="-59"/>
    <n v="0"/>
    <n v="21"/>
    <n v="0"/>
    <n v="0"/>
    <n v="21"/>
    <n v="0"/>
    <n v="0"/>
    <n v="0"/>
    <n v="0"/>
    <n v="0"/>
    <n v="67"/>
    <n v="11.166666666666666"/>
    <n v="127"/>
    <n v="0"/>
    <n v="271"/>
    <n v="1150"/>
    <n v="1548"/>
    <n v="5124"/>
    <n v="122.66666666666666"/>
    <n v="736"/>
    <n v="41.771739130434788"/>
    <n v="6.9619565217391308"/>
    <m/>
    <n v="816"/>
    <n v="451"/>
    <n v="0"/>
    <n v="54.30322271038338"/>
    <n v="1663"/>
    <n v="0"/>
    <n v="200.23560835336488"/>
    <n v="0"/>
    <m/>
    <n v="0"/>
    <n v="262"/>
    <n v="0"/>
    <n v="31.546439800710523"/>
    <n v="4306"/>
    <n v="11634"/>
    <n v="0.12040625878133787"/>
    <n v="1102.0852708644588"/>
    <n v="23.283491637981527"/>
    <n v="3.8805819396635877"/>
    <m/>
    <n v="2650.0852708644588"/>
    <n v="265.00852708644589"/>
    <n v="0.17119413894473248"/>
    <n v="5.5987716990094212"/>
    <n v="0.93312861650157009"/>
    <n v="32.70422535211268"/>
    <n v="5.450704225352113"/>
    <n v="65.055230768416322"/>
    <n v="70.654002467425741"/>
    <n v="97.759456120528995"/>
    <n v="10.842538461402718"/>
    <n v="11.775667077904288"/>
    <n v="16.29324268675483"/>
    <n v="4"/>
    <n v="6.5055230768416319"/>
    <n v="307.92809230383722"/>
    <n v="0.19891995626862868"/>
    <n v="829"/>
    <m/>
    <m/>
    <m/>
    <m/>
    <m/>
    <m/>
    <m/>
    <m/>
    <m/>
    <m/>
    <m/>
    <m/>
    <m/>
    <m/>
    <m/>
    <m/>
    <m/>
    <m/>
    <m/>
    <m/>
    <m/>
    <m/>
    <m/>
    <m/>
    <m/>
    <m/>
    <m/>
    <m/>
    <m/>
    <m/>
    <m/>
    <m/>
    <m/>
    <m/>
    <m/>
    <m/>
    <m/>
    <m/>
    <m/>
    <m/>
    <m/>
    <m/>
    <m/>
    <m/>
    <m/>
    <m/>
    <m/>
    <n v="61.95"/>
    <n v="3.94"/>
    <n v="8.99"/>
    <m/>
    <m/>
    <x v="0"/>
    <m/>
    <m/>
    <m/>
    <m/>
    <m/>
    <m/>
    <m/>
    <m/>
    <m/>
  </r>
  <r>
    <x v="11"/>
    <s v="MRO"/>
    <x v="3"/>
    <n v="133"/>
    <n v="25"/>
    <m/>
    <n v="47.166666666666671"/>
    <n v="283"/>
    <n v="181"/>
    <n v="73"/>
    <m/>
    <n v="103.16666666666667"/>
    <n v="619"/>
    <n v="150.33333333333334"/>
    <n v="902"/>
    <n v="0.3137472283813747"/>
    <n v="0.46996466431095407"/>
    <n v="0.53003533568904593"/>
    <n v="0"/>
    <n v="49"/>
    <n v="0"/>
    <n v="154"/>
    <n v="448"/>
    <n v="-20"/>
    <n v="74.666666666666671"/>
    <n v="-3.3333333333333286"/>
    <n v="-4.2735042735042673E-2"/>
    <m/>
    <n v="16"/>
    <n v="61"/>
    <n v="1"/>
    <n v="0"/>
    <n v="78"/>
    <n v="-3"/>
    <n v="30"/>
    <n v="1"/>
    <n v="0"/>
    <n v="28"/>
    <n v="0"/>
    <n v="0"/>
    <n v="0"/>
    <n v="0"/>
    <n v="0"/>
    <n v="246"/>
    <n v="41"/>
    <n v="400"/>
    <n v="1"/>
    <n v="520"/>
    <n v="855"/>
    <n v="1776"/>
    <n v="5534"/>
    <n v="127.83333333333333"/>
    <n v="767"/>
    <n v="43.290743155149933"/>
    <n v="7.2151238591916558"/>
    <m/>
    <n v="867"/>
    <n v="491"/>
    <n v="0"/>
    <n v="109.41359841863655"/>
    <n v="2155"/>
    <n v="0"/>
    <n v="480.2165062976818"/>
    <n v="0"/>
    <m/>
    <n v="0"/>
    <n v="375"/>
    <n v="0"/>
    <n v="83.564357244376183"/>
    <n v="5302"/>
    <n v="7465"/>
    <n v="0.22283828598500316"/>
    <n v="1540.1944619606945"/>
    <n v="32.654299546869844"/>
    <n v="5.4423832578116418"/>
    <m/>
    <n v="3316.1944619606948"/>
    <n v="331.61944619606948"/>
    <n v="0.18672266114643551"/>
    <n v="7.0308009794219668"/>
    <n v="1.1718001632369945"/>
    <n v="37.653710247349821"/>
    <n v="6.2756183745583041"/>
    <n v="75.945042702019776"/>
    <n v="82.975843681441745"/>
    <n v="113.5987529493696"/>
    <n v="12.657507117003298"/>
    <n v="13.829307280240293"/>
    <n v="18.933125491561604"/>
    <n v="4"/>
    <n v="7.5945042702019778"/>
    <n v="358.20745141119335"/>
    <n v="0.20169338480359986"/>
    <n v="657"/>
    <m/>
    <m/>
    <m/>
    <m/>
    <m/>
    <m/>
    <m/>
    <m/>
    <m/>
    <m/>
    <m/>
    <m/>
    <m/>
    <m/>
    <m/>
    <m/>
    <m/>
    <m/>
    <m/>
    <m/>
    <m/>
    <m/>
    <m/>
    <m/>
    <m/>
    <m/>
    <m/>
    <m/>
    <m/>
    <m/>
    <m/>
    <m/>
    <m/>
    <m/>
    <m/>
    <m/>
    <m/>
    <m/>
    <m/>
    <m/>
    <m/>
    <m/>
    <m/>
    <m/>
    <m/>
    <m/>
    <m/>
    <n v="79.48"/>
    <n v="4.37"/>
    <n v="11.83"/>
    <m/>
    <m/>
    <x v="0"/>
    <m/>
    <m/>
    <m/>
    <m/>
    <m/>
    <m/>
    <m/>
    <m/>
    <m/>
  </r>
  <r>
    <x v="11"/>
    <s v="MRO"/>
    <x v="4"/>
    <n v="119"/>
    <n v="24.1"/>
    <n v="2.9000000000000004"/>
    <n v="46.833333333333336"/>
    <n v="281"/>
    <n v="191"/>
    <n v="66"/>
    <n v="4.3499999999999996"/>
    <n v="102.18333333333332"/>
    <n v="613.1"/>
    <n v="149.01666666666665"/>
    <n v="894.1"/>
    <n v="0.31428251873392238"/>
    <n v="0.42348754448398579"/>
    <n v="0.51459074733096088"/>
    <n v="6.1921708185053388E-2"/>
    <n v="138"/>
    <n v="0"/>
    <n v="321"/>
    <n v="1149"/>
    <n v="701"/>
    <n v="191.5"/>
    <n v="116.83333333333333"/>
    <n v="1.5647321428571428"/>
    <m/>
    <n v="18"/>
    <n v="109"/>
    <n v="119"/>
    <n v="0"/>
    <n v="246"/>
    <n v="16"/>
    <n v="27"/>
    <n v="89"/>
    <n v="1"/>
    <n v="133"/>
    <n v="0"/>
    <n v="0"/>
    <n v="0"/>
    <n v="0"/>
    <n v="0"/>
    <n v="1044"/>
    <n v="174"/>
    <n v="3271"/>
    <n v="1782"/>
    <n v="782"/>
    <n v="889"/>
    <n v="6724"/>
    <n v="10048"/>
    <n v="226.16666666666666"/>
    <n v="1357"/>
    <n v="44.427413411938097"/>
    <n v="7.4045689019896832"/>
    <m/>
    <n v="1143"/>
    <n v="2614"/>
    <n v="0"/>
    <n v="484.54541865957884"/>
    <n v="2893"/>
    <n v="0"/>
    <n v="536.2623933367106"/>
    <n v="0"/>
    <m/>
    <n v="0"/>
    <n v="228"/>
    <n v="0"/>
    <n v="42.263334144752861"/>
    <n v="5635"/>
    <n v="9554"/>
    <n v="0.18536550063488097"/>
    <n v="2206.0711461410424"/>
    <n v="47.104721981659267"/>
    <n v="7.8507869969432109"/>
    <m/>
    <n v="8930.0711461410428"/>
    <n v="893.00711461410435"/>
    <n v="0.13280891056128857"/>
    <n v="19.067767571831407"/>
    <n v="3.1779612619719018"/>
    <n v="143.5729537366548"/>
    <n v="23.9288256227758"/>
    <n v="91.532135393597372"/>
    <n v="110.59990296542878"/>
    <n v="235.10508913025217"/>
    <n v="15.255355898932894"/>
    <n v="18.433317160904796"/>
    <n v="39.184181521708695"/>
    <n v="4"/>
    <n v="9.1532135393597365"/>
    <n v="428.67550076001436"/>
    <n v="6.3753048893517905E-2"/>
    <n v="704"/>
    <m/>
    <m/>
    <m/>
    <m/>
    <m/>
    <m/>
    <m/>
    <m/>
    <m/>
    <m/>
    <m/>
    <m/>
    <m/>
    <m/>
    <m/>
    <m/>
    <m/>
    <m/>
    <m/>
    <m/>
    <m/>
    <m/>
    <m/>
    <m/>
    <m/>
    <m/>
    <m/>
    <m/>
    <m/>
    <m/>
    <m/>
    <m/>
    <m/>
    <m/>
    <m/>
    <m/>
    <m/>
    <m/>
    <m/>
    <m/>
    <m/>
    <m/>
    <m/>
    <m/>
    <m/>
    <m/>
    <m/>
    <n v="94.88"/>
    <n v="4"/>
    <n v="15.12"/>
    <m/>
    <m/>
    <x v="0"/>
    <m/>
    <m/>
    <m/>
    <m/>
    <m/>
    <m/>
    <m/>
    <m/>
    <m/>
  </r>
  <r>
    <x v="11"/>
    <s v="MRO"/>
    <x v="5"/>
    <n v="129"/>
    <n v="32.498400000000004"/>
    <n v="6.5015999999999998"/>
    <n v="60.5"/>
    <n v="363"/>
    <n v="193"/>
    <n v="75.181600000000003"/>
    <n v="3.8184"/>
    <n v="111.16666666666666"/>
    <n v="667"/>
    <n v="171.66666666666666"/>
    <n v="1030"/>
    <n v="0.35242718446601939"/>
    <n v="0.35537190082644626"/>
    <n v="0.5371636363636364"/>
    <n v="0.10746446280991735"/>
    <n v="218"/>
    <n v="59"/>
    <n v="497"/>
    <n v="2159"/>
    <n v="1010"/>
    <n v="359.83333333333331"/>
    <n v="168.33333333333331"/>
    <n v="0.87902523933855514"/>
    <m/>
    <n v="-229"/>
    <n v="224"/>
    <n v="105"/>
    <n v="0"/>
    <n v="100"/>
    <n v="9"/>
    <n v="52"/>
    <n v="2"/>
    <n v="9"/>
    <n v="72"/>
    <n v="0"/>
    <n v="0"/>
    <n v="0"/>
    <n v="0"/>
    <n v="0"/>
    <n v="532"/>
    <n v="88.666666666666671"/>
    <n v="432"/>
    <n v="756"/>
    <n v="1587"/>
    <n v="2469"/>
    <n v="5244"/>
    <n v="13744"/>
    <n v="303.66666666666669"/>
    <n v="1822"/>
    <n v="45.260153677277714"/>
    <n v="7.5433589462129529"/>
    <m/>
    <n v="1247"/>
    <n v="2901"/>
    <n v="0"/>
    <n v="762.43544788371582"/>
    <n v="4974"/>
    <n v="0"/>
    <n v="1307.2574690705283"/>
    <n v="0"/>
    <m/>
    <n v="0"/>
    <n v="244"/>
    <n v="0"/>
    <n v="64.127628157058481"/>
    <n v="8004"/>
    <n v="10733"/>
    <n v="0.26281814818466592"/>
    <n v="3380.8205451113026"/>
    <n v="55.881331324153763"/>
    <n v="9.3135552206922938"/>
    <m/>
    <n v="8624.8205451113026"/>
    <n v="862.48205451113029"/>
    <n v="0.16447026211119953"/>
    <n v="14.255901727456699"/>
    <n v="2.3759836212427832"/>
    <n v="86.67768595041322"/>
    <n v="14.446280991735538"/>
    <n v="101.14148500143148"/>
    <n v="115.39738672888818"/>
    <n v="187.81917095184468"/>
    <n v="16.856914166905248"/>
    <n v="19.23289778814803"/>
    <n v="31.303195158640786"/>
    <n v="4"/>
    <n v="10.114148500143148"/>
    <n v="611.90598425866051"/>
    <n v="0.1166868772423075"/>
    <n v="617"/>
    <m/>
    <m/>
    <n v="129.64069999999998"/>
    <n v="31.389999999999997"/>
    <n v="4.13"/>
    <n v="99.551924999999997"/>
    <n v="29.108750000000001"/>
    <n v="3.42"/>
    <n v="120.564975"/>
    <n v="33.397500000000001"/>
    <n v="3.61"/>
    <n v="162.46879999999993"/>
    <n v="36.773749999999986"/>
    <n v="4.4180645161290322"/>
    <n v="512.2263999999999"/>
    <n v="130.66999999999999"/>
    <n v="3.92"/>
    <n v="736.77440000000001"/>
    <n v="7.5737500000000004"/>
    <n v="97.28"/>
    <n v="690.61650000000009"/>
    <n v="7.7562500000000005"/>
    <n v="89.04"/>
    <n v="803.8413250000001"/>
    <n v="8.9425000000000008"/>
    <n v="89.89"/>
    <n v="967.91977499999962"/>
    <n v="10.767499999999995"/>
    <n v="89.892711864406792"/>
    <n v="3199.152"/>
    <n v="35.04"/>
    <n v="91.3"/>
    <n v="32.927562500000001"/>
    <n v="0.63875000000000004"/>
    <n v="51.55"/>
    <n v="29.594199999999997"/>
    <n v="0.73"/>
    <n v="40.54"/>
    <n v="55.3048"/>
    <n v="1.46"/>
    <n v="37.880000000000003"/>
    <n v="41.046987499999993"/>
    <n v="1.1862499999999998"/>
    <n v="34.60230769230769"/>
    <n v="158.87354999999999"/>
    <n v="4.0149999999999997"/>
    <n v="39.57"/>
    <n v="94.05"/>
    <n v="2.75"/>
    <n v="10.98"/>
    <n v="2.41"/>
    <n v="2.2799999999999998"/>
    <x v="1"/>
    <n v="3.4"/>
    <n v="13.14"/>
    <n v="10.75"/>
    <n v="9.9600000000000009"/>
    <n v="10.08"/>
    <n v="102.98"/>
    <n v="93.29"/>
    <n v="92.17"/>
    <n v="88.01"/>
  </r>
  <r>
    <x v="11"/>
    <s v="MRO"/>
    <x v="6"/>
    <n v="114"/>
    <n v="46"/>
    <n v="9"/>
    <n v="74"/>
    <n v="444"/>
    <n v="197"/>
    <n v="66"/>
    <n v="4"/>
    <n v="102.83333333333334"/>
    <n v="617"/>
    <n v="176.83333333333334"/>
    <n v="1061"/>
    <n v="0.41847313854853913"/>
    <n v="0.25675675675675674"/>
    <n v="0.6216216216216216"/>
    <n v="0.12162162162162163"/>
    <n v="256"/>
    <n v="68"/>
    <n v="485"/>
    <n v="2429"/>
    <n v="270"/>
    <n v="404.83333333333331"/>
    <n v="45"/>
    <n v="0.12505789717461788"/>
    <m/>
    <n v="-4"/>
    <n v="163"/>
    <n v="13"/>
    <n v="0"/>
    <n v="172"/>
    <n v="33"/>
    <n v="112"/>
    <n v="12"/>
    <n v="0"/>
    <n v="157"/>
    <n v="13"/>
    <n v="25"/>
    <n v="2"/>
    <n v="0"/>
    <n v="40"/>
    <n v="1354"/>
    <n v="225.66666666666666"/>
    <n v="157"/>
    <n v="51"/>
    <n v="885"/>
    <n v="2876"/>
    <n v="3969"/>
    <n v="15937"/>
    <n v="488.33333333333337"/>
    <n v="2930"/>
    <n v="32.635494880546069"/>
    <n v="5.4392491467576791"/>
    <m/>
    <n v="1503"/>
    <n v="1503"/>
    <n v="0"/>
    <n v="509.42782953951047"/>
    <n v="3904"/>
    <n v="0"/>
    <n v="1323.2243822503319"/>
    <n v="0"/>
    <m/>
    <n v="0"/>
    <n v="319"/>
    <n v="0"/>
    <n v="108.12207426686882"/>
    <n v="8860"/>
    <n v="10939"/>
    <n v="0.33894067168297437"/>
    <n v="3443.7742860567114"/>
    <n v="46.537490352117722"/>
    <n v="7.7562483920196206"/>
    <m/>
    <n v="7412.7742860567114"/>
    <n v="741.27742860567116"/>
    <n v="0.18676679985025729"/>
    <n v="10.017262548725286"/>
    <n v="1.669543758120881"/>
    <n v="53.635135135135137"/>
    <n v="8.9391891891891895"/>
    <n v="79.172985232663791"/>
    <n v="89.190247781389075"/>
    <n v="132.80812036779892"/>
    <n v="13.1954975387773"/>
    <n v="14.86504129689818"/>
    <n v="22.134686727966489"/>
    <n v="4"/>
    <n v="7.9172985232663793"/>
    <n v="585.88009072171212"/>
    <n v="0.14761403142396376"/>
    <n v="793"/>
    <m/>
    <m/>
    <n v="119.7565"/>
    <n v="31.025000000000002"/>
    <n v="3.86"/>
    <n v="120.81865000000002"/>
    <n v="28.835000000000001"/>
    <n v="4.1900000000000004"/>
    <n v="95.125387500000002"/>
    <n v="27.10125"/>
    <n v="3.51"/>
    <n v="101.59866249999995"/>
    <n v="26.918749999999989"/>
    <n v="3.7742711864406777"/>
    <n v="437.29919999999998"/>
    <n v="113.88"/>
    <n v="3.84"/>
    <n v="1045.38555"/>
    <n v="11.04125"/>
    <n v="94.68"/>
    <n v="1077.890625"/>
    <n v="11.4975"/>
    <n v="93.75"/>
    <n v="1161.822375"/>
    <n v="11.4975"/>
    <n v="101.05"/>
    <n v="1046.6995500000003"/>
    <n v="11.953749999999998"/>
    <n v="87.562442748091641"/>
    <n v="4331.7981"/>
    <n v="45.99"/>
    <n v="94.19"/>
    <n v="64.750999999999991"/>
    <n v="1.825"/>
    <n v="35.479999999999997"/>
    <n v="63.677899999999994"/>
    <n v="2.0074999999999998"/>
    <n v="31.72"/>
    <n v="76.671899999999994"/>
    <n v="2.19"/>
    <n v="35.01"/>
    <n v="89.731599999999972"/>
    <n v="2.3724999999999996"/>
    <n v="37.821538461538459"/>
    <n v="294.83239999999995"/>
    <n v="8.3949999999999996"/>
    <n v="35.119999999999997"/>
    <n v="97.98"/>
    <n v="3.73"/>
    <n v="9.94"/>
    <n v="3.49"/>
    <n v="4.01"/>
    <x v="2"/>
    <n v="3.85"/>
    <n v="9.77"/>
    <n v="9.39"/>
    <n v="10.01"/>
    <n v="10.53"/>
    <n v="94.33"/>
    <n v="94.05"/>
    <n v="105.83"/>
    <n v="97.44"/>
  </r>
  <r>
    <x v="11"/>
    <s v="MRO"/>
    <x v="7"/>
    <n v="113"/>
    <n v="57"/>
    <n v="11"/>
    <n v="86.833333333333329"/>
    <n v="521"/>
    <n v="182"/>
    <n v="46"/>
    <n v="4"/>
    <n v="80.333333333333329"/>
    <n v="482"/>
    <n v="167.16666666666666"/>
    <n v="1003"/>
    <n v="0.51944167497507476"/>
    <n v="0.21689059500959693"/>
    <n v="0.65642994241842612"/>
    <n v="0.12667946257197699"/>
    <n v="340"/>
    <n v="93"/>
    <n v="569"/>
    <n v="3167"/>
    <n v="738"/>
    <n v="527.83333333333337"/>
    <n v="123.00000000000006"/>
    <n v="0.30382873610539329"/>
    <m/>
    <n v="-24"/>
    <n v="290"/>
    <n v="5"/>
    <n v="0"/>
    <n v="271"/>
    <n v="36"/>
    <n v="153"/>
    <n v="6"/>
    <n v="2"/>
    <n v="197"/>
    <n v="4"/>
    <n v="48"/>
    <n v="0"/>
    <n v="1"/>
    <n v="53"/>
    <n v="1771"/>
    <n v="295.16666666666663"/>
    <n v="202"/>
    <n v="26"/>
    <n v="1140"/>
    <n v="3532"/>
    <n v="4900"/>
    <n v="14113"/>
    <n v="609.5"/>
    <n v="3657"/>
    <n v="23.15504511894996"/>
    <n v="3.8591741864916598"/>
    <m/>
    <n v="1737"/>
    <n v="654"/>
    <n v="0"/>
    <n v="268.07800304861945"/>
    <n v="1679"/>
    <n v="0"/>
    <n v="688.23083657283189"/>
    <n v="0"/>
    <m/>
    <n v="0"/>
    <n v="309"/>
    <n v="0"/>
    <n v="126.66070786242112"/>
    <n v="7896"/>
    <n v="10006"/>
    <n v="0.40990520343825604"/>
    <n v="2819.9695474838727"/>
    <n v="32.475656976781643"/>
    <n v="5.4126094961302735"/>
    <m/>
    <n v="7719.9695474838727"/>
    <n v="771.99695474838734"/>
    <n v="0.15755039892824232"/>
    <n v="8.8905599395207755"/>
    <n v="1.4817599899201293"/>
    <n v="56.429942418426108"/>
    <n v="9.4049904030710181"/>
    <n v="55.630702095731607"/>
    <n v="64.521262035252377"/>
    <n v="112.06064451415772"/>
    <n v="9.2717836826219333"/>
    <n v="10.753543672542062"/>
    <n v="18.676774085692951"/>
    <n v="4"/>
    <n v="5.5630702095731603"/>
    <n v="483.05992986460274"/>
    <n v="9.8583659156041378E-2"/>
    <n v="610"/>
    <m/>
    <m/>
    <n v="144.54000000000002"/>
    <n v="27.375"/>
    <n v="5.28"/>
    <n v="134.13749999999999"/>
    <n v="26.827499999999997"/>
    <n v="5"/>
    <n v="121.7795125"/>
    <n v="28.92625"/>
    <n v="4.21"/>
    <n v="116.63848750000001"/>
    <n v="30.021250000000006"/>
    <n v="3.8851975683890574"/>
    <n v="517.09550000000002"/>
    <n v="113.15"/>
    <n v="4.57"/>
    <n v="1164.5544000000002"/>
    <n v="12.592500000000001"/>
    <n v="92.48"/>
    <n v="1322.0710624999999"/>
    <n v="13.778749999999999"/>
    <n v="95.95"/>
    <n v="1357.9733750000003"/>
    <n v="15.147500000000001"/>
    <n v="89.65"/>
    <n v="1040.6524124999994"/>
    <n v="15.786249999999999"/>
    <n v="65.921445086705162"/>
    <n v="4885.2512500000003"/>
    <n v="57.305"/>
    <n v="85.25"/>
    <n v="98.344687499999992"/>
    <n v="2.28125"/>
    <n v="43.11"/>
    <n v="85.738500000000002"/>
    <n v="2.4637500000000001"/>
    <n v="34.799999999999997"/>
    <n v="95.979487499999991"/>
    <n v="2.8287499999999999"/>
    <n v="33.93"/>
    <n v="73.688025000000067"/>
    <n v="3.0112500000000013"/>
    <n v="24.470909090909103"/>
    <n v="353.75070000000005"/>
    <n v="10.585000000000001"/>
    <n v="33.42"/>
    <n v="93.17"/>
    <n v="4.37"/>
    <n v="9.56"/>
    <n v="5.21"/>
    <n v="4.6100000000000003"/>
    <x v="3"/>
    <n v="3.8"/>
    <n v="11.19"/>
    <n v="10.15"/>
    <n v="9.83"/>
    <n v="7.41"/>
    <n v="98.68"/>
    <n v="103.35"/>
    <n v="97.87"/>
    <n v="73.209999999999994"/>
  </r>
  <r>
    <x v="11"/>
    <s v="MRO"/>
    <x v="8"/>
    <n v="128"/>
    <n v="62"/>
    <n v="14"/>
    <n v="97.333333333333329"/>
    <n v="584"/>
    <n v="158"/>
    <n v="29"/>
    <n v="4"/>
    <n v="59.333333333333329"/>
    <n v="356"/>
    <n v="156.66666666666666"/>
    <n v="940"/>
    <n v="0.62127659574468086"/>
    <n v="0.21917808219178081"/>
    <n v="0.63698630136986301"/>
    <n v="0.14383561643835618"/>
    <n v="253"/>
    <n v="80"/>
    <n v="511"/>
    <n v="2509"/>
    <n v="-658"/>
    <n v="418.16666666666669"/>
    <n v="-109.66666666666669"/>
    <n v="-0.20776760341016737"/>
    <m/>
    <n v="-191"/>
    <n v="394"/>
    <n v="1"/>
    <n v="0"/>
    <n v="204"/>
    <n v="-109"/>
    <n v="122"/>
    <n v="0"/>
    <n v="1"/>
    <n v="14"/>
    <n v="-31"/>
    <n v="57"/>
    <n v="0"/>
    <n v="0"/>
    <n v="26"/>
    <n v="444"/>
    <n v="74"/>
    <n v="61"/>
    <n v="4"/>
    <n v="959"/>
    <n v="1477"/>
    <n v="2501"/>
    <n v="11370"/>
    <n v="594.83333333333326"/>
    <n v="3569"/>
    <n v="19.114597926590083"/>
    <n v="3.1857663210983467"/>
    <s v="Includes costs incurred whether capitalized or expensed. "/>
    <n v="1306"/>
    <n v="590"/>
    <n v="0"/>
    <n v="324.80969880080454"/>
    <n v="171"/>
    <n v="0"/>
    <n v="94.139760160911152"/>
    <n v="0"/>
    <m/>
    <n v="0"/>
    <n v="358"/>
    <n v="0"/>
    <n v="197.08791893336954"/>
    <n v="4443"/>
    <n v="5014"/>
    <n v="0.55052491322170261"/>
    <n v="1922.0373778950852"/>
    <n v="19.746959361935808"/>
    <n v="3.2911598936559678"/>
    <m/>
    <n v="4423.0373778950852"/>
    <n v="442.30373778950855"/>
    <n v="0.17685075481387788"/>
    <n v="4.5442164841387864"/>
    <n v="0.75736941402313107"/>
    <n v="25.695205479452056"/>
    <n v="4.2825342465753424"/>
    <n v="38.861557288525887"/>
    <n v="43.405773772664674"/>
    <n v="64.556762767977943"/>
    <n v="6.4769262147543145"/>
    <n v="7.2342956287774456"/>
    <n v="10.759460461329656"/>
    <n v="4"/>
    <n v="3.8861557288525885"/>
    <n v="378.25249094165196"/>
    <n v="0.15124050017659016"/>
    <n v="437"/>
    <m/>
    <m/>
    <n v="97"/>
    <n v="32.225913621262464"/>
    <n v="3.01"/>
    <n v="90"/>
    <n v="32.608695652173914"/>
    <n v="2.76"/>
    <n v="85"/>
    <n v="30.90909090909091"/>
    <n v="2.75"/>
    <n v="60.382959999999969"/>
    <n v="29.212299817472701"/>
    <n v="2.0670388972210678"/>
    <n v="332.38295999999997"/>
    <n v="124.95599999999999"/>
    <n v="2.66"/>
    <n v="700.98249999999996"/>
    <n v="16.79"/>
    <n v="41.75"/>
    <n v="845.23779999999999"/>
    <n v="16.059999999999999"/>
    <n v="52.63"/>
    <n v="612.11827687499988"/>
    <n v="14.796187499999997"/>
    <n v="41.37"/>
    <n v="556.71392312500041"/>
    <n v="14.768812500000013"/>
    <n v="37.695239419215319"/>
    <n v="2715.0525000000002"/>
    <n v="62.415000000000006"/>
    <n v="43.5"/>
    <n v="51.352762499999997"/>
    <n v="3.5587499999999999"/>
    <n v="14.43"/>
    <n v="49.867212499999994"/>
    <n v="3.3762499999999998"/>
    <n v="14.77"/>
    <n v="50.646816000000008"/>
    <n v="4.2632000000000003"/>
    <n v="11.88"/>
    <n v="38.455158999999995"/>
    <n v="3.0367999999999986"/>
    <n v="12.663052884615389"/>
    <n v="190.32194999999999"/>
    <n v="14.234999999999999"/>
    <n v="13.37"/>
    <n v="48.66"/>
    <n v="2.62"/>
    <n v="4.97"/>
    <n v="2.9"/>
    <n v="2.75"/>
    <x v="4"/>
    <n v="2.12"/>
    <n v="5.43"/>
    <n v="5.2"/>
    <n v="4.68"/>
    <n v="4.5999999999999996"/>
    <n v="48.49"/>
    <n v="57.85"/>
    <n v="46.64"/>
    <n v="41.94"/>
  </r>
  <r>
    <x v="11"/>
    <s v="MRO"/>
    <x v="9"/>
    <n v="115"/>
    <n v="48"/>
    <n v="14"/>
    <n v="81.166666666666671"/>
    <n v="487"/>
    <n v="163"/>
    <n v="13"/>
    <n v="4"/>
    <n v="44.166666666666671"/>
    <n v="265"/>
    <n v="125.33333333333334"/>
    <n v="752"/>
    <n v="0.64760638297872342"/>
    <n v="0.23613963039014374"/>
    <n v="0.59137577002053388"/>
    <n v="0.17248459958932238"/>
    <n v="325"/>
    <n v="92"/>
    <n v="640"/>
    <n v="3142"/>
    <n v="633"/>
    <n v="523.66666666666663"/>
    <n v="105.49999999999994"/>
    <n v="0.25229174970107598"/>
    <m/>
    <n v="-146"/>
    <n v="362"/>
    <n v="61"/>
    <n v="0"/>
    <n v="277"/>
    <n v="-97"/>
    <n v="189"/>
    <n v="12"/>
    <n v="0"/>
    <n v="104"/>
    <n v="-51"/>
    <n v="54"/>
    <n v="12"/>
    <n v="0"/>
    <n v="15"/>
    <n v="991"/>
    <n v="165.16666666666666"/>
    <n v="642"/>
    <n v="276"/>
    <n v="525"/>
    <n v="456"/>
    <n v="1899"/>
    <n v="9300"/>
    <n v="534.33333333333326"/>
    <n v="3206"/>
    <n v="17.404865876481601"/>
    <n v="2.9008109794135994"/>
    <m/>
    <n v="973"/>
    <n v="484"/>
    <m/>
    <n v="289.12878455072189"/>
    <n v="84"/>
    <n v="0"/>
    <n v="50.179375831117021"/>
    <n v="0"/>
    <m/>
    <n v="0"/>
    <n v="402"/>
    <n v="0"/>
    <n v="240.14415576320289"/>
    <n v="3306"/>
    <n v="3584"/>
    <n v="0.59737352179901215"/>
    <n v="1552.4523161450418"/>
    <n v="19.126722580842404"/>
    <n v="3.1877870968070674"/>
    <m/>
    <n v="3451.4523161450416"/>
    <n v="345.14523161450416"/>
    <n v="0.18175104350421492"/>
    <n v="4.2523026482279773"/>
    <n v="0.70871710803799626"/>
    <n v="23.396303901437371"/>
    <n v="3.8993839835728954"/>
    <n v="36.531588457324006"/>
    <n v="40.78389110555198"/>
    <n v="59.927892358761376"/>
    <n v="6.0885980762206664"/>
    <n v="6.7973151842586628"/>
    <n v="9.9879820597935627"/>
    <n v="4"/>
    <n v="3.6531588457324005"/>
    <n v="296.5147263119465"/>
    <n v="0.15614256256553266"/>
    <n v="249"/>
    <m/>
    <m/>
    <n v="57"/>
    <n v="28.217821782178216"/>
    <n v="2.02"/>
    <n v="55"/>
    <n v="28.061224489795919"/>
    <n v="1.96"/>
    <n v="78"/>
    <n v="29.213483146067418"/>
    <n v="2.67"/>
    <n v="82.771799999999985"/>
    <n v="29.117470581958443"/>
    <n v="2.8426851077952646"/>
    <n v="272.77179999999998"/>
    <n v="114.61"/>
    <n v="2.38"/>
    <n v="366.68944812499996"/>
    <n v="12.998562499999998"/>
    <n v="28.21"/>
    <n v="489.95857124999998"/>
    <n v="12.017624999999999"/>
    <n v="40.770000000000003"/>
    <n v="464.554845"/>
    <n v="11.2347"/>
    <n v="41.35"/>
    <n v="523.02168562500037"/>
    <n v="11.564112500000011"/>
    <n v="45.228000473447473"/>
    <n v="1844.2245500000001"/>
    <n v="47.815000000000005"/>
    <n v="38.57"/>
    <n v="33.713224999999994"/>
    <n v="4.1518749999999995"/>
    <n v="8.1199999999999992"/>
    <n v="54.612869499999995"/>
    <n v="3.6801124999999999"/>
    <n v="14.84"/>
    <n v="49.617406499999987"/>
    <n v="3.9885374999999992"/>
    <n v="12.44"/>
    <n v="54.04649900000004"/>
    <n v="2.7794750000000006"/>
    <n v="19.444858831254113"/>
    <n v="191.99"/>
    <n v="14.6"/>
    <n v="13.15"/>
    <n v="43.2"/>
    <n v="2.52"/>
    <n v="5.04"/>
    <n v="1.99"/>
    <n v="2.15"/>
    <x v="1"/>
    <n v="3.04"/>
    <n v="4.0199999999999996"/>
    <n v="5"/>
    <n v="5.04"/>
    <n v="6.05"/>
    <n v="33.35"/>
    <n v="45.46"/>
    <n v="44.85"/>
    <n v="49.14"/>
  </r>
  <r>
    <x v="12"/>
    <s v="OXY"/>
    <x v="0"/>
    <n v="216"/>
    <n v="95"/>
    <n v="0"/>
    <n v="131"/>
    <n v="786"/>
    <n v="45"/>
    <n v="69"/>
    <n v="0"/>
    <n v="76.5"/>
    <n v="459"/>
    <n v="207.5"/>
    <n v="1245"/>
    <n v="0.63132530120481922"/>
    <n v="0.27480916030534353"/>
    <n v="0.72519083969465647"/>
    <n v="0"/>
    <n v="301"/>
    <n v="0"/>
    <n v="675"/>
    <n v="2481"/>
    <m/>
    <n v="413.5"/>
    <m/>
    <m/>
    <m/>
    <n v="35"/>
    <n v="5"/>
    <n v="18"/>
    <n v="406"/>
    <n v="464"/>
    <n v="-20"/>
    <n v="1"/>
    <n v="47"/>
    <n v="114"/>
    <n v="142"/>
    <n v="0"/>
    <n v="0"/>
    <n v="0"/>
    <n v="0"/>
    <n v="0"/>
    <n v="1316"/>
    <n v="219.33333333333331"/>
    <n v="167"/>
    <n v="626"/>
    <n v="39"/>
    <n v="1268"/>
    <n v="2100"/>
    <m/>
    <m/>
    <m/>
    <m/>
    <m/>
    <m/>
    <m/>
    <m/>
    <m/>
    <m/>
    <m/>
    <m/>
    <m/>
    <m/>
    <m/>
    <m/>
    <m/>
    <m/>
    <m/>
    <n v="0"/>
    <n v="0"/>
    <m/>
    <m/>
    <m/>
    <m/>
    <m/>
    <m/>
    <m/>
    <n v="0"/>
    <m/>
    <m/>
    <m/>
    <m/>
    <m/>
    <m/>
    <m/>
    <m/>
    <m/>
    <m/>
    <n v="4"/>
    <m/>
    <m/>
    <m/>
    <m/>
    <m/>
    <m/>
    <m/>
    <m/>
    <m/>
    <m/>
    <m/>
    <m/>
    <m/>
    <m/>
    <m/>
    <m/>
    <m/>
    <m/>
    <m/>
    <m/>
    <m/>
    <m/>
    <m/>
    <m/>
    <m/>
    <m/>
    <m/>
    <m/>
    <m/>
    <m/>
    <m/>
    <m/>
    <m/>
    <m/>
    <m/>
    <m/>
    <m/>
    <m/>
    <m/>
    <m/>
    <m/>
    <m/>
    <m/>
    <m/>
    <m/>
    <m/>
    <m/>
    <m/>
    <m/>
    <m/>
    <m/>
    <n v="72.34"/>
    <n v="6.97"/>
    <n v="12.91"/>
    <m/>
    <m/>
    <x v="0"/>
    <m/>
    <m/>
    <m/>
    <m/>
    <m/>
    <m/>
    <m/>
    <m/>
    <m/>
  </r>
  <r>
    <x v="12"/>
    <s v="OXY"/>
    <x v="1"/>
    <n v="215"/>
    <n v="96"/>
    <n v="0"/>
    <n v="131.83333333333334"/>
    <n v="791"/>
    <n v="92"/>
    <n v="75"/>
    <n v="0"/>
    <n v="90.333333333333329"/>
    <n v="542"/>
    <n v="222.16666666666669"/>
    <n v="1333"/>
    <n v="0.5933983495873969"/>
    <n v="0.27180783817951959"/>
    <n v="0.7281921618204803"/>
    <n v="0"/>
    <n v="338"/>
    <n v="0"/>
    <n v="1287"/>
    <n v="3315"/>
    <n v="834"/>
    <n v="552.5"/>
    <n v="139"/>
    <n v="0.33615477629987905"/>
    <m/>
    <n v="-490"/>
    <n v="76"/>
    <n v="832"/>
    <n v="281"/>
    <n v="699"/>
    <n v="-243"/>
    <n v="11"/>
    <n v="71"/>
    <n v="99"/>
    <n v="-62"/>
    <n v="0"/>
    <n v="0"/>
    <n v="0"/>
    <n v="0"/>
    <n v="0"/>
    <n v="327"/>
    <n v="54.5"/>
    <n v="1362"/>
    <n v="1819"/>
    <n v="130"/>
    <n v="1740"/>
    <n v="5051"/>
    <m/>
    <m/>
    <m/>
    <m/>
    <m/>
    <m/>
    <m/>
    <m/>
    <m/>
    <m/>
    <m/>
    <m/>
    <m/>
    <m/>
    <m/>
    <m/>
    <m/>
    <m/>
    <m/>
    <n v="0"/>
    <n v="0"/>
    <m/>
    <m/>
    <m/>
    <m/>
    <m/>
    <m/>
    <m/>
    <n v="0"/>
    <m/>
    <m/>
    <m/>
    <m/>
    <m/>
    <m/>
    <m/>
    <m/>
    <m/>
    <m/>
    <n v="4"/>
    <m/>
    <m/>
    <m/>
    <m/>
    <m/>
    <m/>
    <m/>
    <m/>
    <m/>
    <m/>
    <m/>
    <m/>
    <m/>
    <m/>
    <m/>
    <m/>
    <m/>
    <m/>
    <m/>
    <m/>
    <m/>
    <m/>
    <m/>
    <m/>
    <m/>
    <m/>
    <m/>
    <m/>
    <m/>
    <m/>
    <m/>
    <m/>
    <m/>
    <m/>
    <m/>
    <m/>
    <m/>
    <m/>
    <m/>
    <m/>
    <m/>
    <m/>
    <m/>
    <m/>
    <m/>
    <m/>
    <m/>
    <m/>
    <m/>
    <m/>
    <m/>
    <n v="99.67"/>
    <n v="8.86"/>
    <n v="15.2"/>
    <m/>
    <m/>
    <x v="0"/>
    <m/>
    <m/>
    <m/>
    <m/>
    <m/>
    <m/>
    <m/>
    <m/>
    <m/>
  </r>
  <r>
    <x v="12"/>
    <s v="OXY"/>
    <x v="2"/>
    <n v="232"/>
    <n v="81"/>
    <n v="18"/>
    <n v="137.66666666666666"/>
    <n v="826"/>
    <n v="106"/>
    <n v="65"/>
    <n v="4"/>
    <n v="86.666666666666671"/>
    <n v="520"/>
    <n v="224.33333333333331"/>
    <n v="1346"/>
    <n v="0.61367013372956913"/>
    <n v="0.28087167070217917"/>
    <n v="0.58837772397094434"/>
    <n v="0.13075060532687652"/>
    <n v="320"/>
    <n v="0"/>
    <n v="868"/>
    <n v="2788"/>
    <n v="-527"/>
    <n v="464.66666666666663"/>
    <n v="-87.833333333333371"/>
    <n v="-0.15897435897435905"/>
    <m/>
    <n v="-688"/>
    <n v="362"/>
    <n v="67"/>
    <n v="137"/>
    <n v="-122"/>
    <n v="35"/>
    <n v="16"/>
    <n v="13"/>
    <n v="47"/>
    <n v="111"/>
    <n v="23"/>
    <n v="13"/>
    <n v="2"/>
    <n v="9"/>
    <n v="47"/>
    <n v="826"/>
    <n v="137.66666666666669"/>
    <n v="100"/>
    <n v="569"/>
    <n v="131"/>
    <n v="1223"/>
    <n v="2023"/>
    <n v="9174"/>
    <n v="411.5"/>
    <n v="2469"/>
    <n v="22.294046172539488"/>
    <n v="3.7156743620899149"/>
    <m/>
    <n v="1841"/>
    <n v="1300"/>
    <n v="0"/>
    <n v="730.36697321392705"/>
    <n v="1400"/>
    <n v="0"/>
    <n v="786.54904807653691"/>
    <n v="0"/>
    <n v="399"/>
    <n v="399"/>
    <n v="164"/>
    <n v="0"/>
    <n v="92.138602774680038"/>
    <n v="11009"/>
    <n v="12025"/>
    <n v="0.56182074862609777"/>
    <n v="3849.0546240651438"/>
    <n v="27.959234557373929"/>
    <n v="4.6598724262289872"/>
    <m/>
    <n v="5872.0546240651438"/>
    <n v="587.20546240651436"/>
    <n v="0.29026468729931504"/>
    <n v="4.2654149811611219"/>
    <n v="0.71090249686018692"/>
    <n v="14.694915254237289"/>
    <n v="2.4491525423728815"/>
    <n v="50.253280729913413"/>
    <n v="54.518695711074535"/>
    <n v="64.948195984150701"/>
    <n v="8.3755467883189016"/>
    <n v="9.0864492851790892"/>
    <n v="10.824699330691782"/>
    <n v="4"/>
    <n v="5.025328072991341"/>
    <n v="691.82016471514123"/>
    <n v="0.34197734291405896"/>
    <n v="51"/>
    <m/>
    <m/>
    <m/>
    <m/>
    <m/>
    <m/>
    <m/>
    <m/>
    <m/>
    <m/>
    <m/>
    <m/>
    <m/>
    <m/>
    <m/>
    <m/>
    <m/>
    <m/>
    <m/>
    <m/>
    <m/>
    <m/>
    <m/>
    <m/>
    <m/>
    <m/>
    <m/>
    <m/>
    <m/>
    <m/>
    <m/>
    <m/>
    <m/>
    <m/>
    <m/>
    <m/>
    <m/>
    <m/>
    <m/>
    <m/>
    <m/>
    <m/>
    <m/>
    <m/>
    <m/>
    <m/>
    <m/>
    <n v="61.95"/>
    <n v="3.94"/>
    <n v="8.99"/>
    <m/>
    <m/>
    <x v="0"/>
    <m/>
    <m/>
    <m/>
    <m/>
    <m/>
    <m/>
    <m/>
    <m/>
    <m/>
  </r>
  <r>
    <x v="12"/>
    <s v="OXY"/>
    <x v="3"/>
    <n v="247"/>
    <n v="80"/>
    <n v="19"/>
    <n v="140.16666666666666"/>
    <n v="841"/>
    <n v="184"/>
    <n v="83"/>
    <n v="5"/>
    <n v="118.66666666666667"/>
    <n v="712"/>
    <n v="258.83333333333331"/>
    <n v="1553"/>
    <n v="0.54153251770766264"/>
    <n v="0.29369797859690844"/>
    <n v="0.57074910820451852"/>
    <n v="0.13555291319857313"/>
    <n v="408"/>
    <n v="0"/>
    <n v="1027"/>
    <n v="3475"/>
    <n v="687"/>
    <n v="579.16666666666663"/>
    <n v="114.5"/>
    <n v="0.24641319942611192"/>
    <m/>
    <n v="-55"/>
    <n v="7"/>
    <n v="186"/>
    <n v="344"/>
    <n v="482"/>
    <n v="0"/>
    <n v="1"/>
    <n v="72"/>
    <n v="82"/>
    <n v="155"/>
    <n v="8"/>
    <n v="0"/>
    <n v="11"/>
    <n v="16"/>
    <n v="35"/>
    <n v="1622"/>
    <n v="270.33333333333331"/>
    <n v="2290"/>
    <n v="2084"/>
    <n v="177"/>
    <n v="1674"/>
    <n v="6225"/>
    <n v="13299"/>
    <n v="462.5"/>
    <n v="2775"/>
    <n v="28.754594594594593"/>
    <n v="4.7924324324324328"/>
    <m/>
    <n v="2189"/>
    <n v="1396"/>
    <n v="0"/>
    <n v="685.35986784919351"/>
    <n v="2400"/>
    <n v="0"/>
    <n v="1178.2691137808486"/>
    <n v="0"/>
    <n v="454"/>
    <n v="454"/>
    <n v="161"/>
    <n v="0"/>
    <n v="79.042219716131925"/>
    <n v="14276"/>
    <n v="15747"/>
    <n v="0.49094546407535355"/>
    <n v="4585.6712013461738"/>
    <n v="32.715846858593395"/>
    <n v="5.4526411430988988"/>
    <m/>
    <n v="10810.671201346173"/>
    <n v="1081.0671201346174"/>
    <n v="0.17366540082483814"/>
    <n v="7.7127261840757493"/>
    <n v="1.2854543640126248"/>
    <n v="44.411414982164096"/>
    <n v="7.4019024970273488"/>
    <n v="61.470441453187988"/>
    <n v="69.183167637263736"/>
    <n v="105.88185643535209"/>
    <n v="10.245073575531332"/>
    <n v="11.530527939543957"/>
    <n v="17.64697607255868"/>
    <n v="4"/>
    <n v="6.1470441453187989"/>
    <n v="861.61068770218492"/>
    <n v="0.13841135545416625"/>
    <n v="73"/>
    <m/>
    <m/>
    <m/>
    <m/>
    <m/>
    <m/>
    <m/>
    <m/>
    <m/>
    <m/>
    <m/>
    <m/>
    <m/>
    <m/>
    <m/>
    <m/>
    <m/>
    <m/>
    <m/>
    <m/>
    <m/>
    <m/>
    <m/>
    <m/>
    <m/>
    <m/>
    <m/>
    <m/>
    <m/>
    <m/>
    <m/>
    <m/>
    <m/>
    <m/>
    <m/>
    <m/>
    <m/>
    <m/>
    <m/>
    <m/>
    <m/>
    <m/>
    <m/>
    <m/>
    <m/>
    <m/>
    <m/>
    <n v="79.48"/>
    <n v="4.37"/>
    <n v="11.83"/>
    <m/>
    <m/>
    <x v="0"/>
    <m/>
    <m/>
    <m/>
    <m/>
    <m/>
    <m/>
    <m/>
    <m/>
    <m/>
  </r>
  <r>
    <x v="12"/>
    <s v="OXY"/>
    <x v="4"/>
    <n v="285"/>
    <n v="84"/>
    <n v="25"/>
    <n v="156.5"/>
    <n v="939"/>
    <n v="162"/>
    <n v="80"/>
    <n v="4"/>
    <n v="111"/>
    <n v="666"/>
    <n v="267.5"/>
    <n v="1605"/>
    <n v="0.58504672897196264"/>
    <n v="0.30351437699680511"/>
    <n v="0.53674121405750796"/>
    <n v="0.15974440894568689"/>
    <n v="239"/>
    <n v="35"/>
    <n v="726"/>
    <n v="2370"/>
    <n v="-1105"/>
    <n v="395"/>
    <n v="-184.16666666666663"/>
    <n v="-0.3179856115107913"/>
    <m/>
    <n v="-369"/>
    <n v="35"/>
    <n v="728"/>
    <n v="222"/>
    <n v="616"/>
    <n v="-71"/>
    <n v="8"/>
    <n v="78"/>
    <n v="135"/>
    <n v="150"/>
    <n v="0"/>
    <n v="1"/>
    <n v="2"/>
    <n v="10"/>
    <n v="13"/>
    <n v="1594"/>
    <n v="265.66666666666669"/>
    <n v="1311"/>
    <n v="3185"/>
    <n v="400"/>
    <n v="4100"/>
    <n v="8996"/>
    <n v="17244"/>
    <n v="673.66666666666674"/>
    <n v="4042"/>
    <n v="25.597229094507668"/>
    <n v="4.2662048490846116"/>
    <m/>
    <n v="2922"/>
    <n v="1523"/>
    <n v="0"/>
    <n v="826.12559108644734"/>
    <n v="2900"/>
    <n v="0"/>
    <n v="1573.0559515106352"/>
    <n v="0"/>
    <n v="567"/>
    <n v="567"/>
    <n v="315"/>
    <n v="0"/>
    <n v="170.86642231925865"/>
    <n v="18419"/>
    <n v="19866"/>
    <n v="0.54243308672780521"/>
    <n v="6059.0479649163408"/>
    <n v="38.71596143716512"/>
    <n v="6.4526602395275194"/>
    <s v="LOE = Production costs + Other Operating expenses + Exploration expnse from costs incurred - Exploration expense"/>
    <n v="15055.047964916341"/>
    <n v="1505.5047964916341"/>
    <n v="0.16735268969449024"/>
    <n v="9.6198389552181087"/>
    <n v="1.6033064925363516"/>
    <n v="57.482428115015978"/>
    <n v="9.5804046858359957"/>
    <n v="64.313190531672788"/>
    <n v="73.933029486890902"/>
    <n v="121.79561864668877"/>
    <n v="10.71886508861213"/>
    <n v="12.322171581148481"/>
    <n v="20.299269774448128"/>
    <n v="4"/>
    <n v="6.4313190531672788"/>
    <n v="1006.5014318206792"/>
    <n v="0.1118832182993196"/>
    <n v="189"/>
    <m/>
    <m/>
    <m/>
    <m/>
    <m/>
    <m/>
    <m/>
    <m/>
    <m/>
    <m/>
    <m/>
    <m/>
    <m/>
    <m/>
    <m/>
    <m/>
    <m/>
    <m/>
    <m/>
    <m/>
    <m/>
    <m/>
    <m/>
    <m/>
    <m/>
    <m/>
    <m/>
    <m/>
    <m/>
    <m/>
    <m/>
    <m/>
    <m/>
    <m/>
    <m/>
    <m/>
    <m/>
    <m/>
    <m/>
    <m/>
    <m/>
    <m/>
    <m/>
    <m/>
    <m/>
    <m/>
    <m/>
    <n v="94.88"/>
    <n v="4"/>
    <n v="15.12"/>
    <m/>
    <m/>
    <x v="0"/>
    <m/>
    <m/>
    <m/>
    <m/>
    <m/>
    <m/>
    <m/>
    <m/>
    <m/>
  </r>
  <r>
    <x v="12"/>
    <s v="OXY"/>
    <x v="5"/>
    <n v="300"/>
    <n v="93"/>
    <n v="27"/>
    <n v="170"/>
    <n v="1020"/>
    <n v="170"/>
    <n v="78"/>
    <n v="3"/>
    <n v="109.33333333333333"/>
    <n v="656"/>
    <n v="279.33333333333331"/>
    <n v="1676"/>
    <n v="0.60859188544152742"/>
    <n v="0.29411764705882354"/>
    <n v="0.54705882352941182"/>
    <n v="0.1588235294117647"/>
    <n v="266"/>
    <n v="32"/>
    <n v="501"/>
    <n v="2289"/>
    <n v="-81"/>
    <n v="381.5"/>
    <n v="-13.5"/>
    <n v="-3.4177215189873419E-2"/>
    <m/>
    <n v="-748"/>
    <n v="19"/>
    <n v="236"/>
    <n v="317"/>
    <n v="-176"/>
    <n v="-70"/>
    <n v="7"/>
    <n v="54"/>
    <n v="143"/>
    <n v="134"/>
    <n v="1"/>
    <n v="0"/>
    <n v="1"/>
    <n v="16"/>
    <n v="18"/>
    <n v="736"/>
    <n v="122.66666666666667"/>
    <n v="573"/>
    <n v="1333"/>
    <n v="379"/>
    <n v="3271"/>
    <n v="5556"/>
    <n v="20777"/>
    <n v="658.66666666666663"/>
    <n v="3952"/>
    <n v="31.544028340080974"/>
    <n v="5.2573380566801617"/>
    <m/>
    <n v="1710"/>
    <n v="1366"/>
    <n v="0"/>
    <n v="771.45929850568382"/>
    <n v="2300"/>
    <n v="0"/>
    <n v="1298.9431819641823"/>
    <n v="0"/>
    <n v="644"/>
    <n v="644"/>
    <n v="290"/>
    <n v="0"/>
    <n v="163.77979250852732"/>
    <n v="14997"/>
    <n v="16161"/>
    <n v="0.56475790520181834"/>
    <n v="4588.1822729783935"/>
    <n v="26.989307488108196"/>
    <n v="4.4982179146846999"/>
    <s v="LOE = Production costs + Other Operating expenses + Exploration expnse from costs incurred - Exploration expense"/>
    <n v="10144.182272978393"/>
    <n v="1014.4182272978393"/>
    <n v="0.18258067445965429"/>
    <n v="5.9671660429284668"/>
    <n v="0.99452767382141105"/>
    <n v="32.682352941176468"/>
    <n v="5.447058823529412"/>
    <n v="58.533335828189166"/>
    <n v="64.500501871117635"/>
    <n v="91.215688769365642"/>
    <n v="9.7555559713648616"/>
    <n v="10.750083645186272"/>
    <n v="15.202614794894274"/>
    <n v="4"/>
    <n v="5.8533335828189168"/>
    <n v="995.06670907921591"/>
    <n v="0.17909767981987326"/>
    <n v="124"/>
    <m/>
    <m/>
    <n v="216.13109999999998"/>
    <n v="76.102499999999992"/>
    <n v="2.84"/>
    <n v="159.24493749999996"/>
    <n v="76.193749999999994"/>
    <n v="2.09"/>
    <n v="182.6241"/>
    <n v="73.638750000000002"/>
    <n v="2.48"/>
    <n v="-46.56213749999992"/>
    <n v="-19.709999999999994"/>
    <n v="2.3623611111111078"/>
    <n v="511.43799999999999"/>
    <n v="206.22499999999999"/>
    <n v="2.48"/>
    <n v="2304.8728000000001"/>
    <n v="22.265000000000001"/>
    <n v="103.52"/>
    <n v="2098.0802250000002"/>
    <n v="22.721250000000001"/>
    <n v="92.34"/>
    <n v="2173.5959874999999"/>
    <n v="23.633749999999999"/>
    <n v="91.97"/>
    <n v="1637.3197374999995"/>
    <n v="24.454999999999998"/>
    <n v="66.952350746268635"/>
    <n v="8213.8687499999996"/>
    <n v="93.075000000000003"/>
    <n v="88.25"/>
    <n v="354.45150000000001"/>
    <n v="6.5699999999999994"/>
    <n v="53.95"/>
    <n v="291.4296875"/>
    <n v="6.6612499999999999"/>
    <n v="43.75"/>
    <n v="281.30914999999993"/>
    <n v="6.7524999999999995"/>
    <n v="41.66"/>
    <n v="-26.603937499999802"/>
    <n v="0.45625000000000249"/>
    <n v="-58.309999999999249"/>
    <n v="900.58640000000014"/>
    <n v="20.440000000000001"/>
    <n v="44.06"/>
    <n v="94.05"/>
    <n v="2.75"/>
    <n v="10.98"/>
    <n v="2.41"/>
    <n v="2.2799999999999998"/>
    <x v="1"/>
    <n v="3.4"/>
    <n v="13.14"/>
    <n v="10.75"/>
    <n v="9.9600000000000009"/>
    <n v="10.08"/>
    <n v="102.98"/>
    <n v="93.29"/>
    <n v="92.17"/>
    <n v="88.01"/>
  </r>
  <r>
    <x v="12"/>
    <s v="OXY"/>
    <x v="6"/>
    <n v="289"/>
    <n v="97"/>
    <n v="28"/>
    <n v="173.16666666666666"/>
    <n v="1039"/>
    <n v="163"/>
    <n v="75"/>
    <n v="3"/>
    <n v="105.16666666666667"/>
    <n v="631"/>
    <n v="278.33333333333331"/>
    <n v="1670"/>
    <n v="0.6221556886227545"/>
    <n v="0.27815206929740133"/>
    <n v="0.56015399422521661"/>
    <n v="0.16169393647738212"/>
    <n v="309"/>
    <n v="53"/>
    <n v="517"/>
    <n v="2689"/>
    <n v="400"/>
    <n v="448.16666666666669"/>
    <n v="66.666666666666686"/>
    <n v="0.17474879860200965"/>
    <m/>
    <n v="-94"/>
    <n v="14"/>
    <n v="34"/>
    <n v="303"/>
    <n v="257"/>
    <n v="-44"/>
    <n v="4"/>
    <n v="25"/>
    <n v="214"/>
    <n v="199"/>
    <n v="66"/>
    <n v="0"/>
    <n v="7"/>
    <n v="13"/>
    <n v="86"/>
    <n v="1967"/>
    <n v="327.83333333333337"/>
    <n v="151"/>
    <n v="343"/>
    <n v="293"/>
    <n v="2659"/>
    <n v="3446"/>
    <n v="17998"/>
    <n v="716.16666666666674"/>
    <n v="4297"/>
    <n v="25.131021643006747"/>
    <n v="4.1885036071677915"/>
    <m/>
    <n v="2039"/>
    <n v="1544"/>
    <n v="0"/>
    <n v="891.1054717386379"/>
    <n v="1800"/>
    <n v="0"/>
    <n v="1038.8535292289821"/>
    <n v="0"/>
    <n v="693"/>
    <n v="693"/>
    <n v="375"/>
    <n v="0"/>
    <n v="216.42781858937124"/>
    <n v="15052"/>
    <n v="16226"/>
    <n v="0.57714084957165668"/>
    <n v="4878.3868195569912"/>
    <n v="28.171627446912368"/>
    <n v="4.695271241152061"/>
    <s v="LOE = Production costs + Other Operating expenses + Exploration expnse from costs incurred - Exploration expense"/>
    <n v="8324.3868195569921"/>
    <n v="832.43868195569928"/>
    <n v="0.24156665175731262"/>
    <n v="4.8071531200521616"/>
    <n v="0.80119218667536019"/>
    <n v="19.899903753609241"/>
    <n v="3.31665062560154"/>
    <n v="53.302649089919115"/>
    <n v="58.109802209971278"/>
    <n v="73.202552843528352"/>
    <n v="8.8837748483198524"/>
    <n v="9.6849670349952124"/>
    <n v="12.200425473921392"/>
    <n v="4"/>
    <n v="5.3302649089919116"/>
    <n v="923.02420674043265"/>
    <n v="0.26785380346501236"/>
    <n v="140"/>
    <m/>
    <m/>
    <n v="230.17995000000002"/>
    <n v="74.733750000000001"/>
    <n v="3.08"/>
    <n v="277.11712499999999"/>
    <n v="72.543750000000003"/>
    <n v="3.82"/>
    <n v="233.0406375"/>
    <n v="71.266249999999999"/>
    <n v="3.27"/>
    <n v="-190.29731249999992"/>
    <n v="-47.723749999999981"/>
    <n v="3.9874760994263863"/>
    <n v="550.04040000000009"/>
    <n v="170.82000000000002"/>
    <n v="3.22"/>
    <n v="2205.9213"/>
    <n v="24.09"/>
    <n v="91.57"/>
    <n v="2264.4490500000002"/>
    <n v="23.81625"/>
    <n v="95.08"/>
    <n v="2541.1391250000001"/>
    <n v="24.363750000000003"/>
    <n v="104.3"/>
    <n v="1967.3737250000004"/>
    <n v="24.819999999999997"/>
    <n v="79.265661764705911"/>
    <n v="8978.8832000000002"/>
    <n v="97.09"/>
    <n v="92.48"/>
    <n v="288.89932500000003"/>
    <n v="7.1174999999999997"/>
    <n v="40.590000000000003"/>
    <n v="278.94212500000003"/>
    <n v="7.0262500000000001"/>
    <n v="39.700000000000003"/>
    <n v="298.15390000000002"/>
    <n v="7.2087500000000002"/>
    <n v="41.36"/>
    <n v="-104.20385000000005"/>
    <n v="-1.6424999999999992"/>
    <n v="63.442222222222284"/>
    <n v="761.79150000000004"/>
    <n v="19.71"/>
    <n v="38.65"/>
    <n v="97.98"/>
    <n v="3.73"/>
    <n v="9.94"/>
    <n v="3.49"/>
    <n v="4.01"/>
    <x v="2"/>
    <n v="3.85"/>
    <n v="9.77"/>
    <n v="9.39"/>
    <n v="10.01"/>
    <n v="10.53"/>
    <n v="94.33"/>
    <n v="94.05"/>
    <n v="105.83"/>
    <n v="97.44"/>
  </r>
  <r>
    <x v="12"/>
    <s v="OXY"/>
    <x v="7"/>
    <n v="173"/>
    <n v="67"/>
    <n v="20"/>
    <n v="115.83333333333333"/>
    <n v="695"/>
    <n v="158"/>
    <n v="74"/>
    <n v="2"/>
    <n v="102.33333333333333"/>
    <n v="614"/>
    <n v="218.16666666666666"/>
    <n v="1309"/>
    <n v="0.53093964858670739"/>
    <n v="0.24892086330935251"/>
    <n v="0.57841726618705036"/>
    <n v="0.17266187050359713"/>
    <n v="454"/>
    <n v="75"/>
    <n v="586"/>
    <n v="3760"/>
    <n v="1071"/>
    <n v="626.66666666666663"/>
    <n v="178.49999999999994"/>
    <n v="0.39828932688731855"/>
    <m/>
    <n v="-111"/>
    <n v="27"/>
    <n v="46"/>
    <n v="284"/>
    <n v="246"/>
    <n v="-54"/>
    <n v="15"/>
    <n v="33"/>
    <n v="224"/>
    <n v="218"/>
    <n v="6"/>
    <n v="2"/>
    <n v="3"/>
    <n v="6"/>
    <n v="17"/>
    <n v="1656"/>
    <n v="276"/>
    <n v="842"/>
    <n v="771"/>
    <n v="379"/>
    <n v="3665"/>
    <n v="5657"/>
    <n v="14659"/>
    <n v="726.5"/>
    <n v="4359"/>
    <n v="20.177563661390227"/>
    <n v="3.3629272768983713"/>
    <m/>
    <n v="2271"/>
    <n v="1503"/>
    <n v="0"/>
    <n v="726.3110566837122"/>
    <n v="2900"/>
    <n v="0"/>
    <n v="1401.398579096983"/>
    <n v="0"/>
    <n v="529"/>
    <n v="529"/>
    <n v="399"/>
    <n v="0"/>
    <n v="192.8131148481711"/>
    <n v="13910"/>
    <n v="15283"/>
    <n v="0.48324088934378723"/>
    <n v="5120.5227506288666"/>
    <n v="44.205951803990217"/>
    <n v="7.367658633998369"/>
    <m/>
    <n v="10777.522750628867"/>
    <n v="1077.7522750628866"/>
    <n v="0.19051657681861173"/>
    <n v="9.3043361875932664"/>
    <n v="1.5507226979322108"/>
    <n v="48.83741007194245"/>
    <n v="8.1395683453237417"/>
    <n v="64.383515465380441"/>
    <n v="73.687851652973706"/>
    <n v="113.2209255373229"/>
    <n v="10.730585910896741"/>
    <n v="12.281308608828951"/>
    <n v="18.870154256220481"/>
    <n v="4"/>
    <n v="6.4383515465380441"/>
    <n v="745.77572080732341"/>
    <n v="0.13183237065711922"/>
    <n v="141"/>
    <m/>
    <m/>
    <n v="183.469075"/>
    <n v="41.792500000000004"/>
    <n v="4.3899999999999997"/>
    <n v="173.81756250000001"/>
    <n v="41.883749999999999"/>
    <n v="4.1500000000000004"/>
    <n v="157.66905"/>
    <n v="42.157499999999999"/>
    <n v="3.74"/>
    <n v="171.85431250000008"/>
    <n v="47.166249999999991"/>
    <n v="3.6435865157819438"/>
    <n v="686.81000000000006"/>
    <n v="173"/>
    <n v="3.97"/>
    <n v="1461.1752999999999"/>
    <n v="15.786249999999999"/>
    <n v="92.56"/>
    <n v="1530.4723749999998"/>
    <n v="16.333749999999998"/>
    <n v="93.7"/>
    <n v="1451.993725"/>
    <n v="16.607499999999998"/>
    <n v="87.43"/>
    <n v="1215.8989500000002"/>
    <n v="18.067500000000006"/>
    <n v="67.297575757575743"/>
    <n v="5659.5403500000002"/>
    <n v="66.795000000000002"/>
    <n v="84.73"/>
    <n v="203.41267500000001"/>
    <n v="4.8362499999999997"/>
    <n v="42.06"/>
    <n v="203.94466249999999"/>
    <n v="4.8362499999999997"/>
    <n v="42.17"/>
    <n v="197.33724999999998"/>
    <n v="5.0187499999999998"/>
    <n v="39.32"/>
    <n v="140.14631250000011"/>
    <n v="5.0187500000000007"/>
    <n v="27.924545454545473"/>
    <n v="744.84090000000003"/>
    <n v="19.71"/>
    <n v="37.79"/>
    <n v="93.17"/>
    <n v="4.37"/>
    <n v="9.56"/>
    <n v="5.21"/>
    <n v="4.6100000000000003"/>
    <x v="3"/>
    <n v="3.8"/>
    <n v="11.19"/>
    <n v="10.15"/>
    <n v="9.83"/>
    <n v="7.41"/>
    <n v="98.68"/>
    <n v="103.35"/>
    <n v="97.87"/>
    <n v="73.209999999999994"/>
  </r>
  <r>
    <x v="12"/>
    <s v="OXY"/>
    <x v="8"/>
    <n v="155"/>
    <n v="73"/>
    <n v="20"/>
    <n v="118.83333333333333"/>
    <n v="713"/>
    <n v="205"/>
    <n v="86"/>
    <n v="7"/>
    <n v="127.16666666666666"/>
    <n v="763"/>
    <n v="246"/>
    <n v="1476"/>
    <n v="0.48306233062330622"/>
    <n v="0.21739130434782608"/>
    <n v="0.61430575035063117"/>
    <n v="0.16830294530154277"/>
    <n v="242"/>
    <n v="45"/>
    <n v="206"/>
    <n v="1928"/>
    <n v="-1832"/>
    <n v="321.33333333333331"/>
    <n v="-305.33333333333331"/>
    <n v="-0.48723404255319147"/>
    <m/>
    <n v="-600"/>
    <n v="0"/>
    <n v="0"/>
    <n v="123"/>
    <n v="-477"/>
    <n v="-220"/>
    <n v="0"/>
    <n v="0"/>
    <n v="81"/>
    <n v="-139"/>
    <n v="-28"/>
    <n v="0"/>
    <n v="0"/>
    <n v="12"/>
    <n v="-16"/>
    <n v="-1407"/>
    <n v="-234.5"/>
    <n v="25"/>
    <n v="37"/>
    <n v="74"/>
    <n v="2880"/>
    <n v="3016"/>
    <n v="12119"/>
    <n v="369.33333333333337"/>
    <n v="2216"/>
    <n v="32.813176895306853"/>
    <n v="5.4688628158844761"/>
    <m/>
    <n v="1571"/>
    <n v="1270"/>
    <n v="0"/>
    <n v="554.04176005870988"/>
    <n v="1000"/>
    <n v="0"/>
    <n v="436.2533543769369"/>
    <n v="0"/>
    <n v="307"/>
    <n v="307"/>
    <n v="384"/>
    <n v="0"/>
    <n v="167.52128808074377"/>
    <n v="8304"/>
    <n v="9195"/>
    <n v="0.43625335437693691"/>
    <n v="3035.8164025163906"/>
    <n v="25.546842096912123"/>
    <n v="4.2578070161520207"/>
    <m/>
    <n v="6051.8164025163906"/>
    <n v="605.18164025163912"/>
    <n v="0.20065704252375302"/>
    <n v="5.0926926248384783"/>
    <n v="0.84878210413974631"/>
    <n v="25.380084151472651"/>
    <n v="4.2300140252454419"/>
    <n v="58.360018992218976"/>
    <n v="63.452711617057453"/>
    <n v="83.740103143691627"/>
    <n v="9.7266698320364959"/>
    <n v="10.575451936176242"/>
    <n v="13.956683857281938"/>
    <n v="4"/>
    <n v="5.8360018992218974"/>
    <n v="693.51155902420214"/>
    <n v="0.22994415087009354"/>
    <n v="76"/>
    <m/>
    <m/>
    <n v="101.56398750000001"/>
    <n v="40.78875"/>
    <n v="2.4900000000000002"/>
    <n v="83.341362499999988"/>
    <n v="39.876249999999999"/>
    <n v="2.09"/>
    <n v="85.643600000000006"/>
    <n v="38.233750000000001"/>
    <n v="2.2400000000000002"/>
    <n v="62.701049999999995"/>
    <n v="36.101250000000007"/>
    <n v="1.7368110522488829"/>
    <n v="333.25"/>
    <n v="155"/>
    <n v="2.15"/>
    <n v="717.1155"/>
    <n v="16.425000000000001"/>
    <n v="43.66"/>
    <n v="903.03920000000005"/>
    <n v="17.155000000000001"/>
    <n v="52.64"/>
    <n v="827.99519999999984"/>
    <n v="18.614999999999998"/>
    <n v="44.48"/>
    <n v="839.77010000000007"/>
    <n v="20.805000000000003"/>
    <n v="40.363859649122801"/>
    <n v="3287.92"/>
    <n v="73"/>
    <n v="45.04"/>
    <n v="79.022500000000008"/>
    <n v="4.5625"/>
    <n v="17.32"/>
    <n v="80.602949999999993"/>
    <n v="4.6537499999999996"/>
    <n v="17.32"/>
    <n v="72.613100000000003"/>
    <n v="5.2925000000000004"/>
    <n v="13.72"/>
    <n v="75.912700000000001"/>
    <n v="5.5662500000000001"/>
    <n v="13.638032786885246"/>
    <n v="308.15125"/>
    <n v="20.074999999999999"/>
    <n v="15.35"/>
    <n v="48.66"/>
    <n v="2.62"/>
    <n v="4.97"/>
    <n v="2.9"/>
    <n v="2.75"/>
    <x v="4"/>
    <n v="2.12"/>
    <n v="5.43"/>
    <n v="5.2"/>
    <n v="4.68"/>
    <n v="4.5999999999999996"/>
    <n v="48.49"/>
    <n v="57.85"/>
    <n v="46.64"/>
    <n v="41.94"/>
  </r>
  <r>
    <x v="12"/>
    <s v="OXY"/>
    <x v="9"/>
    <n v="132"/>
    <n v="69"/>
    <n v="19"/>
    <n v="110"/>
    <n v="660"/>
    <n v="217"/>
    <n v="74"/>
    <n v="11"/>
    <n v="121.16666666666666"/>
    <n v="727"/>
    <n v="231.16666666666666"/>
    <n v="1387"/>
    <n v="0.47584715212689255"/>
    <n v="0.2"/>
    <n v="0.62727272727272732"/>
    <n v="0.17272727272727273"/>
    <n v="290"/>
    <n v="70"/>
    <n v="337"/>
    <n v="2497"/>
    <n v="569"/>
    <n v="416.16666666666669"/>
    <n v="94.833333333333371"/>
    <n v="0.29512448132780095"/>
    <m/>
    <n v="-1.9E-2"/>
    <n v="0"/>
    <n v="128"/>
    <n v="138"/>
    <n v="265.98099999999999"/>
    <n v="-90"/>
    <n v="0"/>
    <n v="90"/>
    <n v="114"/>
    <n v="114"/>
    <n v="1"/>
    <n v="0"/>
    <n v="26"/>
    <n v="28"/>
    <n v="55"/>
    <n v="1279.981"/>
    <n v="213.33016666666666"/>
    <n v="1265"/>
    <n v="797"/>
    <n v="13"/>
    <n v="1417"/>
    <n v="3492"/>
    <n v="12165"/>
    <n v="254.83016666666666"/>
    <n v="1528.981"/>
    <n v="47.737676269358481"/>
    <n v="7.9562793782264132"/>
    <m/>
    <n v="1335"/>
    <n v="1330"/>
    <n v="0"/>
    <n v="574.82620631256907"/>
    <n v="300"/>
    <n v="0"/>
    <n v="129.66004653666974"/>
    <n v="0"/>
    <n v="240"/>
    <n v="240"/>
    <n v="376"/>
    <n v="0"/>
    <n v="162.50725832595938"/>
    <n v="6377"/>
    <n v="7021"/>
    <n v="0.43220015512223242"/>
    <n v="2441.9935111751984"/>
    <n v="22.19994101068362"/>
    <n v="3.6999901684472705"/>
    <m/>
    <n v="5933.9935111751984"/>
    <n v="593.39935111751981"/>
    <n v="0.1699310856579381"/>
    <n v="5.3945395556138163"/>
    <n v="0.89908992593563608"/>
    <n v="31.745454545454546"/>
    <n v="5.290909090909091"/>
    <n v="69.937617280042105"/>
    <n v="75.332156835655923"/>
    <n v="101.68307182549665"/>
    <n v="11.656269546673684"/>
    <n v="12.55535947260932"/>
    <n v="16.947178637582773"/>
    <n v="4"/>
    <n v="6.9937617280042108"/>
    <n v="769.31379008046315"/>
    <n v="0.22030750002304214"/>
    <n v="56"/>
    <m/>
    <m/>
    <n v="47.221874999999997"/>
    <n v="31.481249999999999"/>
    <n v="1.5"/>
    <n v="47.561325000000004"/>
    <n v="32.576250000000002"/>
    <n v="1.46"/>
    <n v="73.246374999999986"/>
    <n v="31.846249999999998"/>
    <n v="2.2999999999999998"/>
    <n v="82.770425000000003"/>
    <n v="36.096249999999998"/>
    <n v="2.2930477542681027"/>
    <n v="250.79999999999998"/>
    <n v="132"/>
    <n v="1.9"/>
    <n v="529.93984999999998"/>
    <n v="17.97625"/>
    <n v="29.48"/>
    <n v="718.29262499999993"/>
    <n v="17.337499999999999"/>
    <n v="41.43"/>
    <n v="685.25921249999999"/>
    <n v="16.516249999999999"/>
    <n v="41.49"/>
    <n v="783.72831250000013"/>
    <n v="17.170000000000002"/>
    <n v="45.645213308095521"/>
    <n v="2717.2200000000003"/>
    <n v="69"/>
    <n v="39.380000000000003"/>
    <n v="47.022950000000002"/>
    <n v="4.7450000000000001"/>
    <n v="9.91"/>
    <n v="67.616250000000008"/>
    <n v="4.7450000000000001"/>
    <n v="14.25"/>
    <n v="76.335187500000004"/>
    <n v="5.0187499999999998"/>
    <n v="15.21"/>
    <n v="88.705612499999972"/>
    <n v="4.4912499999999982"/>
    <n v="19.750762593932649"/>
    <n v="279.68"/>
    <n v="19"/>
    <n v="14.72"/>
    <n v="43.2"/>
    <n v="2.52"/>
    <n v="5.04"/>
    <n v="1.99"/>
    <n v="2.15"/>
    <x v="1"/>
    <n v="3.04"/>
    <n v="4.0199999999999996"/>
    <n v="5"/>
    <n v="5.04"/>
    <n v="6.05"/>
    <n v="33.35"/>
    <n v="45.46"/>
    <n v="44.85"/>
    <n v="49.14"/>
  </r>
  <r>
    <x v="13"/>
    <s v="PXD"/>
    <x v="0"/>
    <n v="132.84"/>
    <n v="6.8040000000000003"/>
    <n v="6.7709999999999999"/>
    <n v="35.715000000000003"/>
    <n v="214.29"/>
    <n v="18.249000000000002"/>
    <n v="2.48"/>
    <n v="0.13600000000000001"/>
    <n v="5.6575000000000006"/>
    <n v="33.945000000000007"/>
    <n v="41.372500000000002"/>
    <n v="248.23500000000001"/>
    <n v="0.86325457731584987"/>
    <n v="0.61990760184796312"/>
    <n v="0.19050818983620327"/>
    <n v="0.18958420831583367"/>
    <n v="154.81"/>
    <n v="58.209000000000003"/>
    <n v="926.97500000000002"/>
    <n v="2205.0889999999999"/>
    <m/>
    <n v="367.51483333333334"/>
    <m/>
    <m/>
    <m/>
    <n v="35.542000000000002"/>
    <n v="131.27699999999999"/>
    <n v="184.47800000000001"/>
    <n v="0"/>
    <n v="351.29700000000003"/>
    <n v="11.759"/>
    <n v="18.646999999999998"/>
    <n v="9.5839999999999996"/>
    <n v="0"/>
    <n v="39.989999999999995"/>
    <n v="3.8119999999999998"/>
    <n v="4.0449999999999999"/>
    <n v="10.093999999999999"/>
    <n v="0"/>
    <n v="17.951000000000001"/>
    <n v="698.94299999999998"/>
    <n v="116.4905"/>
    <n v="200.767"/>
    <n v="331.52600000000001"/>
    <n v="334.71000000000004"/>
    <n v="1038.4000000000001"/>
    <n v="1905.4030000000002"/>
    <m/>
    <m/>
    <m/>
    <m/>
    <m/>
    <s v="Additions include oil and purchases; excludes sales. Capital excludes asset retirement obligations."/>
    <m/>
    <m/>
    <m/>
    <m/>
    <m/>
    <m/>
    <m/>
    <m/>
    <m/>
    <m/>
    <m/>
    <m/>
    <m/>
    <n v="0"/>
    <n v="0"/>
    <m/>
    <m/>
    <m/>
    <m/>
    <m/>
    <m/>
    <m/>
    <n v="0"/>
    <m/>
    <m/>
    <m/>
    <m/>
    <m/>
    <m/>
    <m/>
    <m/>
    <m/>
    <m/>
    <n v="4"/>
    <m/>
    <m/>
    <m/>
    <m/>
    <m/>
    <m/>
    <m/>
    <m/>
    <m/>
    <m/>
    <m/>
    <m/>
    <m/>
    <m/>
    <m/>
    <m/>
    <m/>
    <m/>
    <m/>
    <m/>
    <m/>
    <m/>
    <m/>
    <m/>
    <m/>
    <m/>
    <m/>
    <m/>
    <m/>
    <m/>
    <m/>
    <m/>
    <m/>
    <m/>
    <m/>
    <m/>
    <m/>
    <m/>
    <m/>
    <m/>
    <m/>
    <m/>
    <m/>
    <m/>
    <m/>
    <m/>
    <m/>
    <m/>
    <m/>
    <m/>
    <m/>
    <n v="72.34"/>
    <n v="6.97"/>
    <n v="12.91"/>
    <m/>
    <m/>
    <x v="0"/>
    <m/>
    <m/>
    <m/>
    <m/>
    <m/>
    <m/>
    <m/>
    <m/>
    <m/>
  </r>
  <r>
    <x v="13"/>
    <s v="PXD"/>
    <x v="1"/>
    <n v="154.274"/>
    <n v="8.0679999999999996"/>
    <n v="6.984"/>
    <n v="40.764333333333333"/>
    <n v="244.58600000000001"/>
    <n v="4.6109999999999998"/>
    <n v="3.141"/>
    <n v="0"/>
    <n v="3.9095"/>
    <n v="23.457000000000001"/>
    <n v="44.673833333333334"/>
    <n v="268.04300000000001"/>
    <n v="0.91248792171405335"/>
    <n v="0.63075564423147679"/>
    <n v="0.19791811469176485"/>
    <n v="0.17132624107675828"/>
    <n v="174.393"/>
    <n v="63.079000000000001"/>
    <n v="1009.31"/>
    <n v="2434.1419999999998"/>
    <n v="229.05299999999988"/>
    <n v="405.69033333333334"/>
    <n v="38.1755"/>
    <n v="0.10387471888889745"/>
    <m/>
    <n v="-92.793999999999997"/>
    <n v="202.28399999999999"/>
    <n v="58.758000000000003"/>
    <n v="0"/>
    <n v="168.24799999999999"/>
    <n v="-8.577"/>
    <n v="17.196000000000002"/>
    <n v="2.4249999999999998"/>
    <n v="0"/>
    <n v="11.044"/>
    <n v="-6.077"/>
    <n v="5.8410000000000002"/>
    <n v="2.0449999999999999"/>
    <n v="0"/>
    <n v="1.8090000000000002"/>
    <n v="245.36600000000001"/>
    <n v="40.894333333333329"/>
    <n v="50.125999999999998"/>
    <n v="85.245000000000005"/>
    <n v="321.33699999999999"/>
    <n v="838.23900000000003"/>
    <n v="1294.9470000000001"/>
    <m/>
    <m/>
    <m/>
    <m/>
    <m/>
    <s v="Additions include oil and purchases; excludes sales. Capital excludes asset retirement obligations."/>
    <m/>
    <m/>
    <m/>
    <m/>
    <m/>
    <m/>
    <m/>
    <m/>
    <m/>
    <m/>
    <m/>
    <m/>
    <m/>
    <n v="0"/>
    <n v="0"/>
    <m/>
    <m/>
    <m/>
    <m/>
    <m/>
    <m/>
    <m/>
    <n v="0"/>
    <m/>
    <m/>
    <m/>
    <m/>
    <m/>
    <m/>
    <m/>
    <m/>
    <m/>
    <m/>
    <n v="4"/>
    <m/>
    <m/>
    <m/>
    <m/>
    <m/>
    <m/>
    <m/>
    <m/>
    <m/>
    <m/>
    <m/>
    <m/>
    <m/>
    <m/>
    <m/>
    <m/>
    <m/>
    <m/>
    <m/>
    <m/>
    <m/>
    <m/>
    <m/>
    <m/>
    <m/>
    <m/>
    <m/>
    <m/>
    <m/>
    <m/>
    <m/>
    <m/>
    <m/>
    <m/>
    <m/>
    <m/>
    <m/>
    <m/>
    <m/>
    <m/>
    <m/>
    <m/>
    <m/>
    <m/>
    <m/>
    <m/>
    <m/>
    <m/>
    <m/>
    <m/>
    <m/>
    <n v="99.67"/>
    <n v="8.86"/>
    <n v="15.2"/>
    <m/>
    <m/>
    <x v="0"/>
    <m/>
    <m/>
    <m/>
    <m/>
    <m/>
    <m/>
    <m/>
    <m/>
    <m/>
  </r>
  <r>
    <x v="13"/>
    <s v="PXD"/>
    <x v="2"/>
    <n v="147.47300000000001"/>
    <n v="9.3149999999999995"/>
    <n v="7.1929999999999996"/>
    <n v="41.086833333333331"/>
    <n v="246.52100000000002"/>
    <n v="9.93"/>
    <n v="2.52"/>
    <n v="0"/>
    <n v="4.1749999999999998"/>
    <n v="25.05"/>
    <n v="45.261833333333328"/>
    <n v="271.57100000000003"/>
    <n v="0.90775892860430607"/>
    <n v="0.59821678477695617"/>
    <n v="0.22671496545933206"/>
    <n v="0.17506824976371183"/>
    <n v="181.07300000000001"/>
    <n v="63.819000000000003"/>
    <n v="779.07899999999995"/>
    <n v="2248.431"/>
    <n v="-185.71099999999979"/>
    <n v="374.73849999999999"/>
    <n v="-30.951833333333354"/>
    <n v="-7.6294234272281616E-2"/>
    <m/>
    <n v="-335.00599999999997"/>
    <n v="18.864999999999998"/>
    <n v="0"/>
    <n v="0"/>
    <n v="-316.14099999999996"/>
    <n v="21.91"/>
    <n v="10.413"/>
    <n v="0"/>
    <n v="0"/>
    <n v="32.323"/>
    <n v="8.2629999999999999"/>
    <n v="1.2290000000000001"/>
    <n v="0"/>
    <n v="0"/>
    <n v="9.4920000000000009"/>
    <n v="-65.250999999999976"/>
    <n v="-10.875166666666662"/>
    <n v="80.087999999999994"/>
    <n v="8.77"/>
    <n v="89.668999999999997"/>
    <n v="235.679"/>
    <n v="414.20600000000002"/>
    <n v="3614.5560000000005"/>
    <n v="146.50966666666665"/>
    <n v="879.05799999999999"/>
    <n v="24.671109301092766"/>
    <n v="4.1118515501821271"/>
    <s v="Additions include oil and purchases; excludes sales. Capital excludes asset retirement obligations."/>
    <n v="345.9"/>
    <m/>
    <n v="140"/>
    <n v="140"/>
    <n v="-11.703999999999999"/>
    <n v="0"/>
    <n v="-10.624410500384798"/>
    <m/>
    <n v="98.4"/>
    <n v="98.4"/>
    <m/>
    <n v="183.00399999999999"/>
    <n v="183.00399999999999"/>
    <n v="1402.4359999999999"/>
    <n v="1402.4359999999999"/>
    <n v="0.90775892860430607"/>
    <n v="756.67958949961519"/>
    <n v="18.416595490841313"/>
    <n v="3.0694325818068853"/>
    <s v="Excludes asset retirement obligations. Includes hurricane activity and other; Net Operating Loss"/>
    <n v="1170.8855894996152"/>
    <n v="117.08855894996152"/>
    <n v="0.282681947991969"/>
    <n v="2.8497829949568967"/>
    <n v="0.4749638324928161"/>
    <n v="10.081234458727655"/>
    <n v="1.6802057431212756"/>
    <n v="43.08770479193408"/>
    <n v="45.937487786890976"/>
    <n v="53.168939250661737"/>
    <n v="7.1812841319890124"/>
    <n v="7.6562479644818282"/>
    <n v="8.8614898751102871"/>
    <n v="4"/>
    <n v="4.3087704791934076"/>
    <n v="177.03373455020633"/>
    <n v="0.4274050461611042"/>
    <n v="128"/>
    <m/>
    <m/>
    <m/>
    <m/>
    <m/>
    <m/>
    <m/>
    <m/>
    <m/>
    <m/>
    <m/>
    <m/>
    <m/>
    <m/>
    <m/>
    <m/>
    <m/>
    <m/>
    <m/>
    <m/>
    <m/>
    <m/>
    <m/>
    <m/>
    <m/>
    <m/>
    <m/>
    <m/>
    <m/>
    <m/>
    <m/>
    <m/>
    <m/>
    <m/>
    <m/>
    <m/>
    <m/>
    <m/>
    <m/>
    <m/>
    <m/>
    <m/>
    <m/>
    <m/>
    <m/>
    <m/>
    <m/>
    <n v="61.95"/>
    <n v="3.94"/>
    <n v="8.99"/>
    <m/>
    <m/>
    <x v="0"/>
    <m/>
    <m/>
    <m/>
    <m/>
    <m/>
    <m/>
    <m/>
    <m/>
    <m/>
  </r>
  <r>
    <x v="13"/>
    <s v="PXD"/>
    <x v="3"/>
    <n v="139.65799999999999"/>
    <n v="10.297000000000001"/>
    <n v="7.2030000000000003"/>
    <n v="40.776333333333334"/>
    <n v="244.65800000000002"/>
    <n v="11.902000000000001"/>
    <n v="2.0059999999999998"/>
    <n v="0"/>
    <n v="3.9896666666666665"/>
    <n v="23.937999999999999"/>
    <n v="44.765999999999998"/>
    <n v="268.596"/>
    <n v="0.91087730271485801"/>
    <n v="0.57082948442315384"/>
    <n v="0.25252393136541623"/>
    <n v="0.17664658421142984"/>
    <n v="207.99299999999999"/>
    <n v="75.433000000000007"/>
    <n v="898.91099999999994"/>
    <n v="2599.4670000000001"/>
    <n v="351.03600000000006"/>
    <n v="433.24450000000002"/>
    <n v="58.506000000000029"/>
    <n v="0.15612487107676429"/>
    <m/>
    <n v="188.10900000000001"/>
    <n v="155.44800000000001"/>
    <n v="3.3639999999999999"/>
    <n v="0"/>
    <n v="346.92099999999999"/>
    <n v="12.897"/>
    <n v="31.428000000000001"/>
    <n v="1.944"/>
    <n v="9.7159999999999993"/>
    <n v="55.985000000000007"/>
    <n v="19.291"/>
    <n v="15.669"/>
    <n v="0.55500000000000005"/>
    <n v="0"/>
    <n v="35.515000000000001"/>
    <n v="895.92100000000005"/>
    <n v="149.32016666666669"/>
    <n v="175.00700000000001"/>
    <n v="6.56"/>
    <n v="239.36600000000001"/>
    <n v="671.30099999999993"/>
    <n v="1092.2339999999999"/>
    <n v="2801.3870000000002"/>
    <n v="179.33933333333337"/>
    <n v="1076.0360000000001"/>
    <n v="15.620594478251654"/>
    <n v="2.6034324130419431"/>
    <s v="Additions include oil and purchases; excludes sales. Capital excludes asset retirement obligations."/>
    <n v="364.8"/>
    <m/>
    <n v="165"/>
    <n v="165"/>
    <n v="9.8640000000000008"/>
    <n v="0"/>
    <n v="8.9848937139793605"/>
    <m/>
    <n v="112.1"/>
    <n v="112.1"/>
    <m/>
    <n v="198.32599999999999"/>
    <n v="198.32599999999999"/>
    <n v="1718.297"/>
    <n v="1718.297"/>
    <n v="0.91087730271485801"/>
    <n v="849.21089371397943"/>
    <n v="20.826072976497301"/>
    <n v="3.4710121627495498"/>
    <s v="Excludes asset retirement obligations. Includes hurricane activity and other; Net Operating Loss"/>
    <n v="1941.4448937139794"/>
    <n v="194.14448937139795"/>
    <n v="0.17774990466456636"/>
    <n v="4.7612051771386499"/>
    <n v="0.79353419618977483"/>
    <n v="26.785978794889189"/>
    <n v="4.4643297991481985"/>
    <n v="36.446667454748955"/>
    <n v="41.207872631887604"/>
    <n v="63.232646249638144"/>
    <n v="6.0744445757914924"/>
    <n v="6.8679787719812673"/>
    <n v="10.538774374939692"/>
    <n v="4"/>
    <n v="3.6446667454748956"/>
    <n v="148.61614610239951"/>
    <n v="0.13606621484260656"/>
    <n v="96"/>
    <m/>
    <m/>
    <m/>
    <m/>
    <m/>
    <m/>
    <m/>
    <m/>
    <m/>
    <m/>
    <m/>
    <m/>
    <m/>
    <m/>
    <m/>
    <m/>
    <m/>
    <m/>
    <m/>
    <m/>
    <m/>
    <m/>
    <m/>
    <m/>
    <m/>
    <m/>
    <m/>
    <m/>
    <m/>
    <m/>
    <m/>
    <m/>
    <m/>
    <m/>
    <m/>
    <m/>
    <m/>
    <m/>
    <m/>
    <m/>
    <m/>
    <m/>
    <m/>
    <m/>
    <m/>
    <m/>
    <m/>
    <n v="79.48"/>
    <n v="4.37"/>
    <n v="11.83"/>
    <m/>
    <m/>
    <x v="0"/>
    <m/>
    <m/>
    <m/>
    <m/>
    <m/>
    <m/>
    <m/>
    <m/>
    <m/>
  </r>
  <r>
    <x v="13"/>
    <s v="PXD"/>
    <x v="4"/>
    <n v="143.24299999999999"/>
    <n v="14.826000000000001"/>
    <n v="8.2080000000000002"/>
    <n v="46.907833333333329"/>
    <n v="281.447"/>
    <n v="7.6890000000000001"/>
    <n v="0.39300000000000002"/>
    <n v="0"/>
    <n v="1.6745000000000001"/>
    <n v="10.047000000000001"/>
    <n v="48.582333333333331"/>
    <n v="291.49400000000003"/>
    <n v="0.96553273823817976"/>
    <n v="0.50895195187726283"/>
    <n v="0.31606661289692201"/>
    <n v="0.17498143522581519"/>
    <n v="239.79900000000001"/>
    <n v="90.63"/>
    <n v="677.67499999999995"/>
    <n v="2660.2489999999998"/>
    <n v="60.781999999999698"/>
    <n v="443.3748333333333"/>
    <n v="10.130333333333283"/>
    <n v="2.3382485717264229E-2"/>
    <m/>
    <n v="-247.196"/>
    <n v="273.04300000000001"/>
    <n v="4.569"/>
    <n v="0"/>
    <n v="30.416000000000007"/>
    <n v="8.8160000000000007"/>
    <n v="70.864000000000004"/>
    <n v="2.81"/>
    <n v="1.3939999999999999"/>
    <n v="83.884000000000015"/>
    <n v="-5.75"/>
    <n v="39.911999999999999"/>
    <n v="0.86299999999999999"/>
    <n v="0"/>
    <n v="35.024999999999999"/>
    <n v="743.87000000000012"/>
    <n v="123.97833333333335"/>
    <n v="124.32599999999999"/>
    <n v="7.5649999999999995"/>
    <n v="565.97400000000005"/>
    <n v="1456.1190000000001"/>
    <n v="2153.9840000000004"/>
    <n v="3660.4240000000004"/>
    <n v="262.4233333333334"/>
    <n v="1574.5400000000002"/>
    <n v="13.948546242077049"/>
    <n v="2.324757707012842"/>
    <s v="Additions include oil and purchases; excludes sales. Capital excludes asset retirement obligations."/>
    <n v="453.1"/>
    <m/>
    <n v="190"/>
    <n v="190"/>
    <n v="6.9480000000000004"/>
    <n v="0"/>
    <n v="6.7085214652788734"/>
    <m/>
    <n v="147.69999999999999"/>
    <n v="147.69999999999999"/>
    <m/>
    <n v="194.96600000000001"/>
    <n v="194.96600000000001"/>
    <n v="1985"/>
    <n v="1985"/>
    <n v="0.96553273823817976"/>
    <n v="992.47452146527883"/>
    <n v="21.15796980885095"/>
    <n v="3.5263283014751581"/>
    <s v="Excludes asset retirement obligations. Includes hurricane activity and other; Net Operating Loss"/>
    <n v="3146.4585214652793"/>
    <n v="314.64585214652794"/>
    <n v="0.14607622533246667"/>
    <n v="6.7077464420625121"/>
    <n v="1.1179577403437519"/>
    <n v="45.919494611774162"/>
    <n v="7.6532491019623601"/>
    <n v="35.106516050928001"/>
    <n v="41.814262492990515"/>
    <n v="81.026010662702163"/>
    <n v="5.8510860084880001"/>
    <n v="6.9690437488317523"/>
    <n v="13.504335110450359"/>
    <n v="4"/>
    <n v="3.5106516050928001"/>
    <n v="164.6770603830922"/>
    <n v="7.6452313658361512E-2"/>
    <n v="108"/>
    <m/>
    <m/>
    <m/>
    <m/>
    <m/>
    <m/>
    <m/>
    <m/>
    <m/>
    <m/>
    <m/>
    <m/>
    <m/>
    <m/>
    <m/>
    <m/>
    <m/>
    <m/>
    <m/>
    <m/>
    <m/>
    <m/>
    <m/>
    <m/>
    <m/>
    <m/>
    <m/>
    <m/>
    <m/>
    <m/>
    <m/>
    <m/>
    <m/>
    <m/>
    <m/>
    <m/>
    <m/>
    <m/>
    <m/>
    <m/>
    <m/>
    <m/>
    <m/>
    <m/>
    <m/>
    <m/>
    <m/>
    <n v="94.88"/>
    <n v="4"/>
    <n v="15.12"/>
    <m/>
    <m/>
    <x v="0"/>
    <m/>
    <m/>
    <m/>
    <m/>
    <m/>
    <m/>
    <m/>
    <m/>
    <m/>
  </r>
  <r>
    <x v="13"/>
    <s v="PXD"/>
    <x v="5"/>
    <n v="161.197"/>
    <n v="22.99"/>
    <n v="10.913"/>
    <n v="60.769166666666663"/>
    <n v="364.61500000000001"/>
    <n v="0"/>
    <n v="0"/>
    <n v="0"/>
    <n v="0"/>
    <n v="0"/>
    <n v="60.769166666666663"/>
    <n v="364.61500000000001"/>
    <n v="1"/>
    <n v="0.44210194314550966"/>
    <n v="0.37831685476461474"/>
    <n v="0.17958120208987563"/>
    <n v="256.13799999999998"/>
    <n v="97.938999999999993"/>
    <n v="592.27099999999996"/>
    <n v="2716.7330000000002"/>
    <n v="56.484000000000378"/>
    <n v="452.78883333333334"/>
    <n v="9.4140000000000441"/>
    <n v="2.1232598903335842E-2"/>
    <m/>
    <n v="-485.21600000000001"/>
    <n v="320.24299999999999"/>
    <n v="9.4570000000000007"/>
    <n v="0"/>
    <n v="-155.51600000000002"/>
    <n v="-11.157999999999999"/>
    <n v="78.375"/>
    <n v="5.383"/>
    <n v="7.4980000000000002"/>
    <n v="80.097999999999999"/>
    <n v="-17.417000000000002"/>
    <n v="48.421999999999997"/>
    <n v="2.0369999999999999"/>
    <n v="0"/>
    <n v="33.041999999999994"/>
    <n v="523.32399999999984"/>
    <n v="87.220666666666659"/>
    <n v="140.51499999999999"/>
    <n v="16.937999999999999"/>
    <n v="964.62799999999993"/>
    <n v="1824.8110000000001"/>
    <n v="2946.8919999999998"/>
    <n v="6193.1100000000006"/>
    <n v="360.51916666666671"/>
    <n v="2163.1149999999998"/>
    <n v="17.178309983519139"/>
    <n v="2.8630516639198569"/>
    <s v="Additions include oil and purchases; excludes sales. Capital excludes asset retirement obligations."/>
    <n v="532"/>
    <m/>
    <n v="244.196"/>
    <n v="244.196"/>
    <n v="4.2590000000000003"/>
    <n v="0"/>
    <n v="4.2590000000000003"/>
    <m/>
    <n v="169"/>
    <n v="169"/>
    <m/>
    <n v="215"/>
    <n v="215"/>
    <n v="2512"/>
    <n v="2512"/>
    <n v="1"/>
    <n v="1164.4549999999999"/>
    <n v="19.161937934533686"/>
    <n v="3.1936563224222807"/>
    <m/>
    <n v="4111.3469999999998"/>
    <n v="411.13470000000001"/>
    <n v="0.13951468190894001"/>
    <n v="6.7655148581380367"/>
    <n v="1.1275858096896727"/>
    <n v="48.493210646846677"/>
    <n v="8.082201774474445"/>
    <n v="36.340247918052825"/>
    <n v="43.105762776190858"/>
    <n v="84.833458564899502"/>
    <n v="6.056707986342138"/>
    <n v="7.1842937960318105"/>
    <n v="14.138909760816583"/>
    <n v="4"/>
    <n v="3.6340247918052824"/>
    <n v="220.83665824401382"/>
    <n v="7.4938836660459168E-2"/>
    <n v="212.67"/>
    <m/>
    <m/>
    <n v="84.611491324999974"/>
    <n v="33.709757499999995"/>
    <n v="2.5099999999999998"/>
    <n v="68.020122499999999"/>
    <n v="34.01006125"/>
    <n v="2"/>
    <n v="89.979223300000001"/>
    <n v="34.343215000000001"/>
    <n v="2.62"/>
    <n v="147.55582162500008"/>
    <n v="39.815751250000019"/>
    <n v="3.705966030843133"/>
    <n v="390.16665875000007"/>
    <n v="141.87878500000002"/>
    <n v="2.75"/>
    <n v="5.8241942899999994"/>
    <n v="5.7671E-2"/>
    <n v="100.99"/>
    <n v="495.06053759999998"/>
    <n v="5.6053050000000004"/>
    <n v="88.32"/>
    <n v="511.30103009999999"/>
    <n v="5.6887075000000005"/>
    <n v="89.88"/>
    <n v="1088.7800880100003"/>
    <n v="11.733316500000001"/>
    <n v="92.793890628451067"/>
    <n v="2100.96585"/>
    <n v="23.085000000000001"/>
    <n v="91.01"/>
    <n v="104.85974131249999"/>
    <n v="2.5080062499999998"/>
    <n v="41.81"/>
    <n v="80.248462000000004"/>
    <n v="2.4601000000000002"/>
    <n v="32.619999999999997"/>
    <n v="92.731082400000005"/>
    <n v="2.99519"/>
    <n v="30.96"/>
    <n v="90.474464287500027"/>
    <n v="2.9497037500000007"/>
    <n v="30.672390163757971"/>
    <n v="368.31375000000003"/>
    <n v="10.913"/>
    <n v="33.75"/>
    <n v="94.05"/>
    <n v="2.75"/>
    <n v="10.98"/>
    <n v="2.41"/>
    <n v="2.2799999999999998"/>
    <x v="1"/>
    <n v="3.4"/>
    <n v="13.14"/>
    <n v="10.75"/>
    <n v="9.9600000000000009"/>
    <n v="10.08"/>
    <n v="102.98"/>
    <n v="93.29"/>
    <n v="92.17"/>
    <n v="88.01"/>
  </r>
  <r>
    <x v="13"/>
    <s v="PXD"/>
    <x v="6"/>
    <n v="157.69"/>
    <n v="27.454999999999998"/>
    <n v="12.999000000000001"/>
    <n v="66.73566666666666"/>
    <n v="400.41399999999999"/>
    <n v="0"/>
    <n v="0"/>
    <n v="0"/>
    <n v="0"/>
    <n v="0"/>
    <n v="66.73566666666666"/>
    <n v="400.41399999999999"/>
    <n v="1"/>
    <n v="0.39381739899204327"/>
    <n v="0.41139920182611001"/>
    <n v="0.19478339918184681"/>
    <n v="45.313000000000002"/>
    <n v="13.968"/>
    <n v="71.807000000000002"/>
    <n v="427.49300000000005"/>
    <n v="-2289.2400000000002"/>
    <n v="71.248833333333337"/>
    <n v="-381.54"/>
    <n v="-0.84264445567525414"/>
    <m/>
    <n v="-304.53100000000001"/>
    <n v="205.899"/>
    <n v="0.50900000000000001"/>
    <n v="0"/>
    <n v="-98.123000000000005"/>
    <n v="-184.35900000000001"/>
    <n v="78.921999999999997"/>
    <n v="9.6000000000000002E-2"/>
    <n v="0"/>
    <n v="-105.34100000000001"/>
    <n v="-64.986000000000004"/>
    <n v="38.639000000000003"/>
    <n v="0.123"/>
    <n v="0"/>
    <n v="-26.224"/>
    <n v="-887.51300000000015"/>
    <n v="-147.91883333333334"/>
    <n v="63.161999999999999"/>
    <n v="12.861000000000001"/>
    <n v="1287.912"/>
    <n v="1471.364"/>
    <n v="2835.299"/>
    <n v="7936.1750000000002"/>
    <n v="63.280166666666673"/>
    <n v="379.68099999999981"/>
    <n v="125.41330748707466"/>
    <n v="20.902217914512455"/>
    <s v="Additions include oil and purchases; excludes sales. Capital excludes asset retirement obligations."/>
    <n v="588"/>
    <m/>
    <n v="295.86799999999999"/>
    <n v="295.86799999999999"/>
    <n v="10.362"/>
    <n v="0"/>
    <n v="10.362"/>
    <m/>
    <n v="192"/>
    <n v="192"/>
    <m/>
    <n v="194"/>
    <n v="194"/>
    <n v="3088"/>
    <n v="3088"/>
    <n v="1"/>
    <n v="1280.23"/>
    <n v="19.183594979196535"/>
    <n v="3.1972658298660885"/>
    <m/>
    <n v="4115.5290000000005"/>
    <n v="411.55290000000008"/>
    <n v="0.14515326249541938"/>
    <n v="6.1669107473764671"/>
    <n v="1.0278184578960778"/>
    <n v="42.485512494568127"/>
    <n v="7.0809187490946872"/>
    <n v="144.59690246627119"/>
    <n v="150.76381321364767"/>
    <n v="187.08241496083932"/>
    <n v="24.099483744378546"/>
    <n v="25.127302202274624"/>
    <n v="31.180402493473231"/>
    <n v="4"/>
    <n v="14.459690246627119"/>
    <n v="964.97706840215847"/>
    <n v="0.34034402311789991"/>
    <n v="158.90199999999999"/>
    <m/>
    <m/>
    <n v="104.04106821249999"/>
    <n v="32.82052625"/>
    <n v="3.17"/>
    <n v="129.09720769999998"/>
    <n v="34.334363750000001"/>
    <n v="3.76"/>
    <n v="96.642455249999998"/>
    <n v="29.2855925"/>
    <n v="3.3"/>
    <n v="143.79241338750006"/>
    <n v="42.437272500000013"/>
    <n v="3.3883519113416165"/>
    <n v="473.57314455000005"/>
    <n v="138.87775500000001"/>
    <n v="3.41"/>
    <n v="550.28026157500005"/>
    <n v="6.2767225"/>
    <n v="87.67"/>
    <n v="572.99665068749994"/>
    <n v="6.3419662499999996"/>
    <n v="90.35"/>
    <n v="628.02317925"/>
    <n v="6.1752525"/>
    <n v="101.7"/>
    <n v="804.4858584875002"/>
    <n v="8.6610587500000005"/>
    <n v="92.885394466063417"/>
    <n v="2555.78595"/>
    <n v="27.454999999999998"/>
    <n v="93.09"/>
    <n v="84.341267224999996"/>
    <n v="2.7330287499999999"/>
    <n v="30.86"/>
    <n v="81.334112524999995"/>
    <n v="2.8498287499999999"/>
    <n v="28.54"/>
    <n v="88.751674462500006"/>
    <n v="2.8750137499999999"/>
    <n v="30.87"/>
    <n v="132.81315578749997"/>
    <n v="4.5411287500000013"/>
    <n v="29.246727652788952"/>
    <n v="387.24020999999999"/>
    <n v="12.999000000000001"/>
    <n v="29.79"/>
    <n v="97.98"/>
    <n v="3.73"/>
    <n v="9.94"/>
    <n v="3.49"/>
    <n v="4.01"/>
    <x v="2"/>
    <n v="3.85"/>
    <n v="9.77"/>
    <n v="9.39"/>
    <n v="10.01"/>
    <n v="10.53"/>
    <n v="94.33"/>
    <n v="94.05"/>
    <n v="105.83"/>
    <n v="97.44"/>
  </r>
  <r>
    <x v="13"/>
    <s v="PXD"/>
    <x v="7"/>
    <n v="154.42400000000001"/>
    <n v="32.718000000000004"/>
    <n v="15.760999999999999"/>
    <n v="74.216333333333338"/>
    <n v="445.298"/>
    <n v="0"/>
    <n v="0"/>
    <n v="0"/>
    <n v="0"/>
    <n v="0"/>
    <n v="74.216333333333338"/>
    <n v="445.298"/>
    <n v="1"/>
    <n v="0.34678799365817947"/>
    <n v="0.44084635457603671"/>
    <n v="0.21236565176578379"/>
    <n v="84.891000000000005"/>
    <n v="39.037999999999997"/>
    <n v="182.583"/>
    <n v="926.15699999999993"/>
    <n v="498.66399999999987"/>
    <n v="154.3595"/>
    <n v="83.11066666666666"/>
    <n v="1.1664845974086124"/>
    <m/>
    <n v="-2.5739999999999998"/>
    <n v="275.82499999999999"/>
    <n v="3.2519999999999998"/>
    <n v="0"/>
    <n v="276.50299999999999"/>
    <n v="-46.353999999999999"/>
    <n v="114.864"/>
    <n v="1.139"/>
    <n v="0"/>
    <n v="69.649000000000001"/>
    <n v="-20.125"/>
    <n v="55.987000000000002"/>
    <n v="0.64700000000000002"/>
    <n v="0"/>
    <n v="36.509"/>
    <n v="913.45099999999991"/>
    <n v="152.24183333333332"/>
    <n v="85"/>
    <n v="19"/>
    <n v="1940"/>
    <n v="1531"/>
    <n v="3575"/>
    <n v="9357.1909999999989"/>
    <n v="91.543666666666638"/>
    <n v="549.2619999999996"/>
    <n v="102.21560202599126"/>
    <n v="17.035933670998549"/>
    <m/>
    <n v="693"/>
    <m/>
    <n v="333"/>
    <n v="333"/>
    <n v="-4"/>
    <n v="0"/>
    <n v="-4"/>
    <m/>
    <n v="220"/>
    <n v="220"/>
    <m/>
    <n v="188"/>
    <n v="188"/>
    <n v="3599"/>
    <n v="3599"/>
    <n v="1"/>
    <n v="1430"/>
    <n v="19.267995814039136"/>
    <n v="3.2113326356731897"/>
    <m/>
    <n v="5005"/>
    <n v="500.5"/>
    <n v="0.14000000000000001"/>
    <n v="6.7437985349136982"/>
    <n v="1.1239664224856163"/>
    <n v="48.169989535097841"/>
    <n v="8.0283315891829741"/>
    <n v="121.4835978400304"/>
    <n v="128.22739637494411"/>
    <n v="169.65358737512824"/>
    <n v="20.24726630667174"/>
    <n v="21.371232729157356"/>
    <n v="28.275597895854716"/>
    <n v="4"/>
    <n v="12.14835978400304"/>
    <n v="901.60671918283094"/>
    <n v="0.25219768368750517"/>
    <n v="305"/>
    <m/>
    <m/>
    <n v="139.30767937500002"/>
    <n v="29.327932500000003"/>
    <n v="4.75"/>
    <n v="147.874554225"/>
    <n v="33.761313749999999"/>
    <n v="4.38"/>
    <n v="118.86815296250001"/>
    <n v="31.36362875"/>
    <n v="3.79"/>
    <n v="161.21605703749998"/>
    <n v="43.233154999999982"/>
    <n v="3.7289912576933153"/>
    <n v="567.2664436"/>
    <n v="137.68602999999999"/>
    <n v="4.12"/>
    <n v="662.47972857499997"/>
    <n v="7.1712462500000003"/>
    <n v="92.38"/>
    <n v="697.92640975000006"/>
    <n v="7.2799250000000004"/>
    <n v="95.87"/>
    <n v="737.34816722499988"/>
    <n v="8.1187862499999994"/>
    <n v="90.82"/>
    <n v="699.96187445000044"/>
    <n v="10.148042500000006"/>
    <n v="68.975063363205265"/>
    <n v="2797.7161800000003"/>
    <n v="32.718000000000004"/>
    <n v="85.51"/>
    <n v="100.317653025"/>
    <n v="3.0566012499999999"/>
    <n v="32.82"/>
    <n v="106.43557679999999"/>
    <n v="3.519695"/>
    <n v="30.24"/>
    <n v="103.33627785"/>
    <n v="3.6334837499999999"/>
    <n v="28.44"/>
    <n v="121.76189232499999"/>
    <n v="5.5512199999999989"/>
    <n v="21.934258113531804"/>
    <n v="431.85139999999996"/>
    <n v="15.760999999999999"/>
    <n v="27.4"/>
    <n v="93.17"/>
    <n v="4.37"/>
    <n v="9.56"/>
    <n v="5.21"/>
    <n v="4.6100000000000003"/>
    <x v="3"/>
    <n v="3.8"/>
    <n v="11.19"/>
    <n v="10.15"/>
    <n v="9.83"/>
    <n v="7.41"/>
    <n v="98.68"/>
    <n v="103.35"/>
    <n v="97.87"/>
    <n v="73.209999999999994"/>
  </r>
  <r>
    <x v="13"/>
    <s v="PXD"/>
    <x v="8"/>
    <n v="147.173"/>
    <n v="38.451999999999998"/>
    <n v="14.086"/>
    <n v="77.066833333333335"/>
    <n v="462.40100000000001"/>
    <n v="0"/>
    <n v="0"/>
    <n v="0"/>
    <n v="0"/>
    <n v="0"/>
    <n v="77.066833333333335"/>
    <n v="462.40100000000001"/>
    <n v="1"/>
    <n v="0.31828002102071579"/>
    <n v="0.49894355764801546"/>
    <n v="0.18277642133126876"/>
    <n v="85.466999999999999"/>
    <n v="37.261000000000003"/>
    <n v="202.67400000000001"/>
    <n v="939.04200000000003"/>
    <n v="12.885000000000105"/>
    <n v="156.50700000000001"/>
    <n v="2.147500000000008"/>
    <n v="1.3912328039414536E-2"/>
    <m/>
    <n v="-309.947"/>
    <n v="143.99100000000001"/>
    <n v="0.75900000000000001"/>
    <n v="0"/>
    <n v="-165.197"/>
    <n v="-82.816000000000003"/>
    <n v="80.725999999999999"/>
    <n v="0.44400000000000001"/>
    <n v="0"/>
    <n v="-1.6460000000000035"/>
    <n v="-54.439"/>
    <n v="25.495999999999999"/>
    <n v="0.13200000000000001"/>
    <n v="0"/>
    <n v="-28.811"/>
    <n v="-347.93900000000002"/>
    <n v="-57.989833333333337"/>
    <n v="27"/>
    <n v="9"/>
    <n v="1243"/>
    <n v="794"/>
    <n v="2073"/>
    <n v="8483.2989999999991"/>
    <n v="-53.666833333333358"/>
    <n v="-322.00100000000026"/>
    <n v="-158.07340349874681"/>
    <n v="-26.345567249791124"/>
    <m/>
    <n v="717"/>
    <m/>
    <n v="327"/>
    <n v="327"/>
    <n v="23"/>
    <n v="0"/>
    <n v="23"/>
    <m/>
    <n v="145"/>
    <n v="145"/>
    <m/>
    <n v="191"/>
    <n v="191"/>
    <n v="2178"/>
    <n v="2178"/>
    <n v="1"/>
    <n v="1403"/>
    <n v="18.204977930411051"/>
    <n v="3.0341629884018415"/>
    <m/>
    <n v="3476"/>
    <n v="347.6"/>
    <n v="0.16767969126869273"/>
    <n v="4.5103708685751114"/>
    <n v="0.75172847809585186"/>
    <n v="26.898730755340061"/>
    <n v="4.4831217925566769"/>
    <n v="-139.86842556833577"/>
    <n v="-135.35805469976066"/>
    <n v="-112.9696948129957"/>
    <n v="-23.311404261389281"/>
    <n v="-22.559675783293429"/>
    <n v="-18.828282468832604"/>
    <n v="4"/>
    <n v="-13.986842556833576"/>
    <n v="-1077.9216641870671"/>
    <n v="-0.51998150708493351"/>
    <n v="306"/>
    <m/>
    <m/>
    <n v="88.554073500000015"/>
    <n v="32.797805000000004"/>
    <n v="2.7"/>
    <n v="77.074008637500015"/>
    <n v="32.520678750000002"/>
    <n v="2.37"/>
    <n v="83.100572912499999"/>
    <n v="32.846076250000003"/>
    <n v="2.5299999999999998"/>
    <n v="67.212144949999939"/>
    <n v="33.47743999999998"/>
    <n v="2.0076847258930188"/>
    <n v="315.94079999999997"/>
    <n v="131.642"/>
    <n v="2.4"/>
    <n v="386.88111855000005"/>
    <n v="8.993052500000001"/>
    <n v="43.02"/>
    <n v="473.8962133500001"/>
    <n v="9.1769212500000013"/>
    <n v="51.64"/>
    <n v="422.70909697500002"/>
    <n v="9.9554662500000006"/>
    <n v="42.46"/>
    <n v="391.09817112499974"/>
    <n v="10.326559999999997"/>
    <n v="37.873035272636756"/>
    <n v="1674.5845999999999"/>
    <n v="38.451999999999998"/>
    <n v="43.55"/>
    <n v="48.404474999999998"/>
    <n v="3.2269649999999999"/>
    <n v="15"/>
    <n v="46.932226512499994"/>
    <n v="3.3451337499999996"/>
    <n v="14.03"/>
    <n v="47.051659987500003"/>
    <n v="3.7975512500000002"/>
    <n v="12.39"/>
    <n v="45.096298500000039"/>
    <n v="3.7163500000000012"/>
    <n v="12.134567115583845"/>
    <n v="187.48466000000002"/>
    <n v="14.086"/>
    <n v="13.31"/>
    <n v="48.66"/>
    <n v="2.62"/>
    <n v="4.97"/>
    <n v="2.9"/>
    <n v="2.75"/>
    <x v="4"/>
    <n v="2.12"/>
    <n v="5.43"/>
    <n v="5.2"/>
    <n v="4.68"/>
    <n v="4.5999999999999996"/>
    <n v="48.49"/>
    <n v="57.85"/>
    <n v="46.64"/>
    <n v="41.94"/>
  </r>
  <r>
    <x v="13"/>
    <s v="PXD"/>
    <x v="9"/>
    <n v="139.51"/>
    <n v="48.926000000000002"/>
    <n v="15.922000000000001"/>
    <n v="88.099666666666664"/>
    <n v="528.59800000000007"/>
    <n v="0"/>
    <n v="0"/>
    <n v="0"/>
    <n v="0"/>
    <n v="0"/>
    <n v="88.099666666666664"/>
    <n v="528.59800000000007"/>
    <n v="1"/>
    <n v="0.26392457027835892"/>
    <n v="0.55534829870714608"/>
    <n v="0.18072713101449495"/>
    <n v="34.680999999999997"/>
    <n v="10.013"/>
    <n v="48.868000000000002"/>
    <n v="317.03199999999998"/>
    <n v="-622.01"/>
    <n v="52.838666666666661"/>
    <n v="-103.66833333333335"/>
    <n v="-0.66238783781769084"/>
    <m/>
    <n v="-76.998000000000005"/>
    <n v="120.76600000000001"/>
    <n v="5.3609999999999998"/>
    <n v="0"/>
    <n v="49.128999999999998"/>
    <n v="-3.9119999999999999"/>
    <n v="117.40600000000001"/>
    <n v="2.5659999999999998"/>
    <n v="0"/>
    <n v="116.06"/>
    <n v="1.2789999999999999"/>
    <n v="24.734999999999999"/>
    <n v="0.74299999999999999"/>
    <n v="0"/>
    <n v="26.756999999999998"/>
    <n v="906.03099999999995"/>
    <n v="151.00516666666667"/>
    <n v="366"/>
    <n v="78"/>
    <n v="1452"/>
    <n v="492"/>
    <n v="2388"/>
    <n v="8036"/>
    <n v="245.25716666666665"/>
    <n v="1471.5429999999999"/>
    <n v="32.765607257144374"/>
    <n v="5.4609345428573954"/>
    <m/>
    <n v="581"/>
    <m/>
    <n v="325"/>
    <n v="325"/>
    <n v="24"/>
    <m/>
    <n v="24"/>
    <m/>
    <n v="136"/>
    <n v="136"/>
    <m/>
    <n v="211"/>
    <n v="211"/>
    <n v="2418"/>
    <n v="2418"/>
    <n v="1"/>
    <n v="1277"/>
    <n v="14.494947010771892"/>
    <n v="2.4158245017953148"/>
    <m/>
    <n v="3665"/>
    <n v="366.5"/>
    <n v="0.15347571189279732"/>
    <n v="4.1600611428722774"/>
    <n v="0.69334352381204611"/>
    <n v="27.105664417950884"/>
    <n v="4.5176107363251461"/>
    <n v="47.260554267916262"/>
    <n v="51.420615410788542"/>
    <n v="74.366218685867153"/>
    <n v="7.8767590446527098"/>
    <n v="8.5701025684647565"/>
    <n v="12.394369780977856"/>
    <n v="4"/>
    <n v="4.7260554267916266"/>
    <n v="416.36390774853334"/>
    <n v="0.17435674528833053"/>
    <n v="323"/>
    <m/>
    <m/>
    <n v="58.581157712500001"/>
    <n v="32.726903749999998"/>
    <n v="1.79"/>
    <n v="51.894344025000002"/>
    <n v="31.074457500000001"/>
    <n v="1.67"/>
    <n v="73.708871062500009"/>
    <n v="30.332868750000003"/>
    <n v="2.4300000000000002"/>
    <n v="78.358707199999969"/>
    <n v="30.293770000000002"/>
    <n v="2.5866277851848736"/>
    <n v="262.54307999999997"/>
    <n v="124.428"/>
    <n v="2.11"/>
    <n v="314.76762142500002"/>
    <n v="11.2056825"/>
    <n v="28.09"/>
    <n v="509.32995892500003"/>
    <n v="12.2937475"/>
    <n v="41.43"/>
    <n v="507.61513599999995"/>
    <n v="12.2494"/>
    <n v="41.44"/>
    <n v="608.20318365000003"/>
    <n v="13.177169999999998"/>
    <n v="46.155827362779725"/>
    <n v="1939.9159"/>
    <n v="48.926000000000002"/>
    <n v="39.65"/>
    <n v="36.980573600000007"/>
    <n v="3.5799200000000004"/>
    <n v="10.33"/>
    <n v="53.452318237500002"/>
    <n v="3.7615987500000001"/>
    <n v="14.21"/>
    <n v="55.978964125000005"/>
    <n v="4.4926937499999999"/>
    <n v="12.46"/>
    <n v="68.375924037499971"/>
    <n v="4.0877874999999992"/>
    <n v="16.726878302137766"/>
    <n v="214.78778"/>
    <n v="15.922000000000001"/>
    <n v="13.49"/>
    <n v="43.2"/>
    <n v="2.52"/>
    <n v="5.04"/>
    <n v="1.99"/>
    <n v="2.15"/>
    <x v="1"/>
    <n v="3.04"/>
    <n v="4.0199999999999996"/>
    <n v="5"/>
    <n v="5.04"/>
    <n v="6.05"/>
    <n v="33.35"/>
    <n v="45.46"/>
    <n v="44.85"/>
    <n v="49.14"/>
  </r>
  <r>
    <x v="14"/>
    <s v="RRC"/>
    <x v="0"/>
    <n v="90.62"/>
    <n v="4.5049999999999999"/>
    <n v="0"/>
    <n v="19.608333333333334"/>
    <n v="117.65"/>
    <n v="0"/>
    <n v="0"/>
    <n v="0"/>
    <n v="0"/>
    <n v="0"/>
    <n v="19.608333333333334"/>
    <n v="117.65"/>
    <n v="1"/>
    <n v="0.77025074373140667"/>
    <n v="0.22974925626859327"/>
    <n v="0"/>
    <n v="19.645"/>
    <n v="0"/>
    <n v="688.08799999999997"/>
    <n v="805.95799999999997"/>
    <m/>
    <n v="134.32633333333334"/>
    <m/>
    <m/>
    <m/>
    <n v="-0.38600000000000001"/>
    <n v="401.80500000000001"/>
    <n v="121.38200000000001"/>
    <n v="0"/>
    <n v="522.80099999999993"/>
    <n v="2.4319999999999999"/>
    <n v="13.741"/>
    <n v="1.9339999999999999"/>
    <n v="0"/>
    <n v="18.106999999999999"/>
    <n v="0"/>
    <n v="0"/>
    <n v="0"/>
    <n v="0"/>
    <n v="0"/>
    <n v="631.44299999999998"/>
    <n v="105.24049999999998"/>
    <n v="82.646999999999991"/>
    <n v="253.06399999999999"/>
    <n v="82.876000000000005"/>
    <n v="751.20499999999993"/>
    <n v="1169.7919999999999"/>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m/>
    <m/>
    <m/>
    <m/>
    <m/>
    <m/>
    <m/>
    <m/>
    <m/>
    <m/>
    <m/>
    <m/>
    <m/>
    <m/>
    <m/>
    <m/>
    <m/>
    <m/>
    <m/>
    <m/>
    <m/>
    <m/>
    <m/>
    <m/>
    <m/>
    <m/>
    <m/>
    <m/>
    <m/>
    <m/>
    <m/>
    <m/>
    <m/>
    <m/>
    <m/>
    <m/>
    <m/>
    <m/>
    <m/>
    <m/>
    <m/>
    <m/>
    <m/>
    <m/>
    <m/>
    <m/>
    <m/>
    <m/>
    <m/>
    <n v="72.34"/>
    <n v="6.97"/>
    <n v="12.91"/>
    <m/>
    <m/>
    <x v="0"/>
    <m/>
    <m/>
    <m/>
    <m/>
    <m/>
    <m/>
    <m/>
    <m/>
    <m/>
  </r>
  <r>
    <x v="14"/>
    <s v="RRC"/>
    <x v="1"/>
    <n v="114.32299999999999"/>
    <n v="3.085"/>
    <n v="1.3859999999999999"/>
    <n v="23.524833333333333"/>
    <n v="141.149"/>
    <n v="0"/>
    <n v="0"/>
    <n v="0"/>
    <n v="0"/>
    <n v="0"/>
    <n v="23.524833333333333"/>
    <n v="141.149"/>
    <n v="1"/>
    <n v="0.80994551856548747"/>
    <n v="0.13113801727252761"/>
    <n v="5.8916464161984851E-2"/>
    <n v="24.327000000000002"/>
    <n v="0"/>
    <n v="875.56700000000001"/>
    <n v="1021.529"/>
    <n v="215.57100000000003"/>
    <n v="170.25483333333332"/>
    <n v="35.928499999999985"/>
    <n v="0.26747175411125629"/>
    <m/>
    <n v="-23.396999999999998"/>
    <n v="423.35399999999998"/>
    <n v="95.262"/>
    <n v="0"/>
    <n v="495.21899999999999"/>
    <n v="-4.9459999999999997"/>
    <n v="10.198"/>
    <n v="0"/>
    <n v="0"/>
    <n v="5.2520000000000007"/>
    <n v="1.7909999999999999"/>
    <n v="5.6429999999999998"/>
    <n v="5.2999999999999999E-2"/>
    <n v="0"/>
    <n v="7.4869999999999992"/>
    <n v="571.65300000000002"/>
    <n v="95.275499999999994"/>
    <n v="593.78700000000003"/>
    <n v="251.471"/>
    <n v="196.67600000000002"/>
    <n v="776.32400000000007"/>
    <n v="1818.258"/>
    <m/>
    <m/>
    <m/>
    <m/>
    <m/>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m/>
    <m/>
    <m/>
    <m/>
    <m/>
    <m/>
    <m/>
    <m/>
    <m/>
    <m/>
    <m/>
    <m/>
    <m/>
    <n v="0"/>
    <n v="0"/>
    <m/>
    <m/>
    <m/>
    <m/>
    <m/>
    <m/>
    <m/>
    <n v="0"/>
    <m/>
    <m/>
    <m/>
    <m/>
    <m/>
    <m/>
    <m/>
    <m/>
    <m/>
    <m/>
    <n v="4"/>
    <m/>
    <m/>
    <m/>
    <m/>
    <m/>
    <m/>
    <m/>
    <m/>
    <m/>
    <m/>
    <m/>
    <m/>
    <m/>
    <m/>
    <m/>
    <m/>
    <m/>
    <m/>
    <m/>
    <m/>
    <m/>
    <m/>
    <m/>
    <m/>
    <m/>
    <m/>
    <m/>
    <m/>
    <m/>
    <m/>
    <m/>
    <m/>
    <m/>
    <m/>
    <m/>
    <m/>
    <m/>
    <m/>
    <m/>
    <m/>
    <m/>
    <m/>
    <m/>
    <m/>
    <m/>
    <m/>
    <m/>
    <m/>
    <m/>
    <m/>
    <m/>
    <n v="99.67"/>
    <n v="8.86"/>
    <n v="15.2"/>
    <m/>
    <m/>
    <x v="0"/>
    <m/>
    <m/>
    <m/>
    <m/>
    <m/>
    <m/>
    <m/>
    <m/>
    <m/>
  </r>
  <r>
    <x v="14"/>
    <s v="RRC"/>
    <x v="2"/>
    <n v="130.649"/>
    <n v="2.5569999999999999"/>
    <n v="2.1869999999999998"/>
    <n v="26.518833333333333"/>
    <n v="159.113"/>
    <n v="0"/>
    <n v="0"/>
    <n v="0"/>
    <n v="0"/>
    <n v="0"/>
    <n v="26.518833333333333"/>
    <n v="159.113"/>
    <n v="1"/>
    <n v="0.82110826896608069"/>
    <n v="9.6422039682489802E-2"/>
    <n v="8.246969135142948E-2"/>
    <n v="13.457000000000001"/>
    <n v="25.382000000000001"/>
    <n v="1169.0119999999999"/>
    <n v="1402.0459999999998"/>
    <n v="380.51699999999983"/>
    <n v="233.67433333333332"/>
    <n v="63.419499999999999"/>
    <n v="0.372497501294628"/>
    <m/>
    <n v="-37.497"/>
    <n v="620.11400000000003"/>
    <n v="0"/>
    <n v="0"/>
    <n v="582.61700000000008"/>
    <n v="-1.536"/>
    <n v="3.4790000000000001"/>
    <n v="0"/>
    <n v="0"/>
    <n v="1.9430000000000001"/>
    <n v="8.4339999999999993"/>
    <n v="21.492000000000001"/>
    <n v="0"/>
    <n v="0"/>
    <n v="29.926000000000002"/>
    <n v="773.83100000000013"/>
    <n v="128.97183333333334"/>
    <n v="176.86699999999999"/>
    <n v="0"/>
    <n v="99.203000000000003"/>
    <n v="527.226"/>
    <n v="803.29600000000005"/>
    <n v="3791.3460000000005"/>
    <n v="329.4878333333333"/>
    <n v="1976.9270000000001"/>
    <n v="11.506786037117205"/>
    <n v="1.9177976728528672"/>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35"/>
    <n v="0"/>
    <n v="115"/>
    <n v="115"/>
    <n v="0"/>
    <n v="0.17"/>
    <n v="0.17"/>
    <n v="0"/>
    <n v="26"/>
    <n v="26"/>
    <n v="0"/>
    <n v="108.685"/>
    <n v="108.685"/>
    <n v="751.74900000000002"/>
    <n v="751.74900000000002"/>
    <n v="1"/>
    <n v="384.85500000000002"/>
    <n v="14.512516262027617"/>
    <n v="2.418752710337936"/>
    <s v="G&amp;A Excludes deferred compensation plan. LOE excludes &quot;Brokered Natural Gas and Marketing&quot;"/>
    <n v="1188.1510000000001"/>
    <n v="118.81510000000002"/>
    <n v="0.14790948790981159"/>
    <n v="4.4804044924047695"/>
    <n v="0.74673408206746161"/>
    <n v="30.291528662020077"/>
    <n v="5.048588110336679"/>
    <n v="26.019302299144822"/>
    <n v="30.499706791549592"/>
    <n v="56.310830961164896"/>
    <n v="4.3365503831908034"/>
    <n v="5.0832844652582647"/>
    <n v="9.3851384935274815"/>
    <n v="4"/>
    <n v="2.6019302299144824"/>
    <n v="69.000154112063839"/>
    <n v="8.5896299884555424E-2"/>
    <n v="8"/>
    <m/>
    <m/>
    <m/>
    <m/>
    <m/>
    <m/>
    <m/>
    <m/>
    <m/>
    <m/>
    <m/>
    <m/>
    <m/>
    <m/>
    <m/>
    <m/>
    <m/>
    <m/>
    <m/>
    <m/>
    <m/>
    <m/>
    <m/>
    <m/>
    <m/>
    <m/>
    <m/>
    <m/>
    <m/>
    <m/>
    <m/>
    <m/>
    <m/>
    <m/>
    <m/>
    <m/>
    <m/>
    <m/>
    <m/>
    <m/>
    <m/>
    <m/>
    <m/>
    <m/>
    <m/>
    <m/>
    <m/>
    <n v="61.95"/>
    <n v="3.94"/>
    <n v="8.99"/>
    <m/>
    <m/>
    <x v="0"/>
    <m/>
    <m/>
    <m/>
    <m/>
    <m/>
    <m/>
    <m/>
    <m/>
    <m/>
  </r>
  <r>
    <x v="14"/>
    <s v="RRC"/>
    <x v="3"/>
    <n v="142.03399999999999"/>
    <n v="1.9690000000000001"/>
    <n v="4.49"/>
    <n v="30.13133333333333"/>
    <n v="180.78799999999998"/>
    <n v="0"/>
    <n v="0"/>
    <n v="0"/>
    <n v="0"/>
    <n v="0"/>
    <n v="30.13133333333333"/>
    <n v="180.78799999999998"/>
    <n v="1"/>
    <n v="0.7856384273292476"/>
    <n v="6.5347257561342575E-2"/>
    <n v="0.14901431510940993"/>
    <n v="6.1890000000000001"/>
    <n v="69.650999999999996"/>
    <n v="1803.76"/>
    <n v="2258.8000000000002"/>
    <n v="856.75400000000036"/>
    <n v="376.4666666666667"/>
    <n v="142.79233333333337"/>
    <n v="0.61107410170565035"/>
    <m/>
    <n v="3.5990000000000002"/>
    <n v="1089.6320000000001"/>
    <n v="124.98099999999999"/>
    <n v="0"/>
    <n v="1218.212"/>
    <n v="-2.6720000000000002"/>
    <n v="4.6630000000000003"/>
    <n v="0"/>
    <n v="0"/>
    <n v="1.9910000000000001"/>
    <n v="26.832000000000001"/>
    <n v="48.792000000000002"/>
    <n v="0"/>
    <n v="0"/>
    <n v="75.623999999999995"/>
    <n v="1683.9019999999998"/>
    <n v="280.65033333333338"/>
    <n v="155.26900000000001"/>
    <n v="130.767"/>
    <n v="110.94"/>
    <n v="747.34699999999998"/>
    <n v="1144.3229999999999"/>
    <n v="3765.877"/>
    <n v="504.89766666666674"/>
    <n v="3029.386"/>
    <n v="7.458693609860215"/>
    <n v="1.243115601643369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159"/>
    <n v="0"/>
    <n v="141"/>
    <n v="141"/>
    <n v="0"/>
    <n v="-1.359"/>
    <n v="-1.359"/>
    <n v="0"/>
    <n v="26"/>
    <n v="26"/>
    <n v="0"/>
    <n v="116.76600000000001"/>
    <n v="116.76600000000001"/>
    <n v="823.29"/>
    <n v="823.29"/>
    <n v="1"/>
    <n v="441.40700000000004"/>
    <n v="14.649434696993167"/>
    <n v="2.4415724494988611"/>
    <s v="G&amp;A Excludes deferred compensation plan. LOE excludes &quot;Brokered Natural Gas and Marketing&quot;"/>
    <n v="1585.73"/>
    <n v="158.57300000000001"/>
    <n v="0.13857363698885719"/>
    <n v="5.2627276146646906"/>
    <n v="0.87712126911078181"/>
    <n v="37.977841449653738"/>
    <n v="6.3296402416089563"/>
    <n v="22.108128306853381"/>
    <n v="27.370855921518071"/>
    <n v="60.085969756507119"/>
    <n v="3.6846880511422304"/>
    <n v="4.5618093202530119"/>
    <n v="10.014328292751188"/>
    <n v="4"/>
    <n v="2.2108128306853381"/>
    <n v="66.614738338990136"/>
    <n v="5.8213230302100148E-2"/>
    <n v="11"/>
    <m/>
    <m/>
    <m/>
    <m/>
    <m/>
    <m/>
    <m/>
    <m/>
    <m/>
    <m/>
    <m/>
    <m/>
    <m/>
    <m/>
    <m/>
    <m/>
    <m/>
    <m/>
    <m/>
    <m/>
    <m/>
    <m/>
    <m/>
    <m/>
    <m/>
    <m/>
    <m/>
    <m/>
    <m/>
    <m/>
    <m/>
    <m/>
    <m/>
    <m/>
    <m/>
    <m/>
    <m/>
    <m/>
    <m/>
    <m/>
    <m/>
    <m/>
    <m/>
    <m/>
    <m/>
    <m/>
    <m/>
    <n v="79.48"/>
    <n v="4.37"/>
    <n v="11.83"/>
    <m/>
    <m/>
    <x v="0"/>
    <m/>
    <m/>
    <m/>
    <m/>
    <m/>
    <m/>
    <m/>
    <m/>
    <m/>
  </r>
  <r>
    <x v="14"/>
    <s v="RRC"/>
    <x v="4"/>
    <n v="157.001"/>
    <n v="1.968"/>
    <n v="5.5730000000000004"/>
    <n v="33.707833333333333"/>
    <n v="202.24700000000001"/>
    <n v="0"/>
    <n v="0"/>
    <n v="0"/>
    <n v="0"/>
    <n v="0"/>
    <n v="33.707833333333333"/>
    <n v="202.24700000000001"/>
    <n v="1"/>
    <n v="0.77628345537881893"/>
    <n v="5.8384055140496521E-2"/>
    <n v="0.16533248948068452"/>
    <n v="13.66"/>
    <n v="78.043000000000006"/>
    <n v="2102.4670000000001"/>
    <n v="2652.6850000000004"/>
    <n v="393.88500000000022"/>
    <n v="442.11416666666673"/>
    <n v="65.647500000000036"/>
    <n v="0.17437798831237833"/>
    <m/>
    <n v="73.643000000000001"/>
    <n v="1304.3240000000001"/>
    <n v="0"/>
    <n v="0"/>
    <n v="1377.9670000000001"/>
    <n v="6.5220000000000002"/>
    <n v="4.915"/>
    <n v="0"/>
    <n v="0"/>
    <n v="11.437000000000001"/>
    <n v="18.626999999999999"/>
    <n v="26.591000000000001"/>
    <n v="0"/>
    <n v="0"/>
    <n v="45.218000000000004"/>
    <n v="1717.8970000000002"/>
    <n v="286.31616666666667"/>
    <n v="220.57900000000001"/>
    <n v="0"/>
    <n v="304.17899999999997"/>
    <n v="1064.5439999999999"/>
    <n v="1589.3019999999999"/>
    <n v="3536.9209999999998"/>
    <n v="695.93833333333339"/>
    <n v="4175.63"/>
    <n v="5.0822333396397665"/>
    <n v="0.84703888993996113"/>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234"/>
    <n v="0"/>
    <n v="151.19999999999999"/>
    <n v="151.19999999999999"/>
    <n v="0"/>
    <n v="0.67500000000000004"/>
    <n v="0.67500000000000004"/>
    <n v="0"/>
    <n v="27.7"/>
    <n v="27.7"/>
    <n v="0"/>
    <n v="133.10300000000001"/>
    <n v="133.10300000000001"/>
    <n v="1173.2660000000001"/>
    <n v="1173.2660000000001"/>
    <n v="1"/>
    <n v="546.678"/>
    <n v="16.218129317122134"/>
    <n v="2.7030215528536887"/>
    <s v="G&amp;A Excludes deferred compensation plan. LOE excludes &quot;Brokered Natural Gas and Marketing&quot;"/>
    <n v="2135.98"/>
    <n v="213.59800000000001"/>
    <n v="0.13439736437756955"/>
    <n v="6.336746651371838"/>
    <n v="1.0561244418953062"/>
    <n v="47.149337196596235"/>
    <n v="7.8582228660993723"/>
    <n v="21.300362656761902"/>
    <n v="27.637109308133738"/>
    <n v="68.44969985335814"/>
    <n v="3.55006044279365"/>
    <n v="4.6061848846889557"/>
    <n v="11.408283308893022"/>
    <n v="4"/>
    <n v="2.13003626567619"/>
    <n v="71.798907437368726"/>
    <n v="4.5176377703777339E-2"/>
    <n v="10"/>
    <m/>
    <m/>
    <m/>
    <m/>
    <m/>
    <m/>
    <m/>
    <m/>
    <m/>
    <m/>
    <m/>
    <m/>
    <m/>
    <m/>
    <m/>
    <m/>
    <m/>
    <m/>
    <m/>
    <m/>
    <m/>
    <m/>
    <m/>
    <m/>
    <m/>
    <m/>
    <m/>
    <m/>
    <m/>
    <m/>
    <m/>
    <m/>
    <m/>
    <m/>
    <m/>
    <m/>
    <m/>
    <m/>
    <m/>
    <m/>
    <m/>
    <m/>
    <m/>
    <m/>
    <m/>
    <m/>
    <m/>
    <n v="94.88"/>
    <n v="4"/>
    <n v="15.12"/>
    <m/>
    <m/>
    <x v="0"/>
    <m/>
    <m/>
    <m/>
    <m/>
    <m/>
    <m/>
    <m/>
    <m/>
    <m/>
  </r>
  <r>
    <x v="14"/>
    <s v="RRC"/>
    <x v="5"/>
    <n v="216.55500000000001"/>
    <n v="2.851"/>
    <n v="6.9690000000000003"/>
    <n v="45.912500000000001"/>
    <n v="275.47500000000002"/>
    <n v="0"/>
    <n v="0"/>
    <n v="0"/>
    <n v="0"/>
    <n v="0"/>
    <n v="45.912500000000001"/>
    <n v="275.47500000000002"/>
    <n v="1"/>
    <n v="0.78611489245848076"/>
    <n v="6.2096378981758779E-2"/>
    <n v="0.15178872855976042"/>
    <n v="19.414999999999999"/>
    <n v="85.415000000000006"/>
    <n v="2419.0720000000001"/>
    <n v="3048.0520000000001"/>
    <n v="395.36699999999973"/>
    <n v="508.00866666666673"/>
    <n v="65.894499999999994"/>
    <n v="0.14904408175113137"/>
    <m/>
    <n v="76.924999999999997"/>
    <n v="996.05899999999997"/>
    <n v="0"/>
    <n v="0"/>
    <n v="1072.9839999999999"/>
    <n v="2.3159999999999998"/>
    <n v="15.131"/>
    <n v="0"/>
    <n v="0"/>
    <n v="17.446999999999999"/>
    <n v="3.036"/>
    <n v="113.392"/>
    <n v="0"/>
    <n v="0"/>
    <n v="116.428"/>
    <n v="1876.2339999999999"/>
    <n v="312.70566666666662"/>
    <n v="188.84299999999999"/>
    <n v="0"/>
    <n v="375.57399999999996"/>
    <n v="1094.213"/>
    <n v="1658.6299999999999"/>
    <n v="4392.2550000000001"/>
    <n v="879.67216666666661"/>
    <n v="5278.0329999999994"/>
    <n v="4.9930589672326802"/>
    <n v="0.83217649453877995"/>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08.34500000000003"/>
    <n v="0"/>
    <n v="173.8"/>
    <n v="173.8"/>
    <n v="0"/>
    <n v="0.38600000000000001"/>
    <n v="0.38600000000000001"/>
    <n v="0"/>
    <n v="43.099999999999994"/>
    <n v="43.099999999999994"/>
    <n v="0"/>
    <n v="153.249"/>
    <n v="153.249"/>
    <n v="1351.694"/>
    <n v="1351.694"/>
    <n v="1"/>
    <n v="678.88"/>
    <n v="14.786387149469098"/>
    <n v="2.4643978582448498"/>
    <s v="G&amp;A Excludes deferred compensation plan. LOE excludes &quot;Brokered Natural Gas and Marketing&quot;"/>
    <n v="2337.5099999999998"/>
    <n v="233.75099999999998"/>
    <n v="0.14093016525686861"/>
    <n v="5.0912278791178869"/>
    <n v="0.84853797985298107"/>
    <n v="36.125891641709771"/>
    <n v="6.0209819402849618"/>
    <n v="19.779446116701777"/>
    <n v="24.870673995819665"/>
    <n v="55.905337758411548"/>
    <n v="3.2965743527836295"/>
    <n v="4.1451123326366108"/>
    <n v="9.3175562930685913"/>
    <n v="4"/>
    <n v="1.9779446116701778"/>
    <n v="90.812381983307034"/>
    <n v="5.4751440636734559E-2"/>
    <n v="11.395"/>
    <m/>
    <m/>
    <n v="186.99833000000001"/>
    <n v="46.633000000000003"/>
    <n v="4.01"/>
    <n v="191.39238"/>
    <n v="52.292999999999999"/>
    <n v="3.66"/>
    <n v="222.50636"/>
    <n v="57.347000000000001"/>
    <n v="3.88"/>
    <n v="72.588979999999964"/>
    <n v="60.281999999999989"/>
    <n v="1.2041567963902986"/>
    <n v="673.48604999999998"/>
    <n v="216.55500000000001"/>
    <n v="3.11"/>
    <n v="50.798752579999999"/>
    <n v="0.60807699999999998"/>
    <n v="83.54"/>
    <n v="52.527322059999996"/>
    <n v="0.62302599999999997"/>
    <n v="84.31"/>
    <n v="60.493129879999998"/>
    <n v="0.71285799999999999"/>
    <n v="84.86"/>
    <n v="74.638435480000012"/>
    <n v="0.90703900000000037"/>
    <n v="82.28801129830137"/>
    <n v="238.45764"/>
    <n v="2.851"/>
    <n v="83.64"/>
    <n v="69.784530459999999"/>
    <n v="1.560826"/>
    <n v="44.71"/>
    <n v="66.436083899999986"/>
    <n v="1.5705929999999999"/>
    <n v="42.3"/>
    <n v="71.515842929999991"/>
    <n v="1.8436669999999999"/>
    <n v="38.79"/>
    <n v="78.119552709999979"/>
    <n v="1.991914"/>
    <n v="39.218336087802975"/>
    <n v="285.85600999999997"/>
    <n v="6.9669999999999996"/>
    <n v="41.03"/>
    <n v="94.05"/>
    <n v="2.75"/>
    <n v="10.98"/>
    <n v="2.41"/>
    <n v="2.2799999999999998"/>
    <x v="1"/>
    <n v="3.4"/>
    <n v="13.14"/>
    <n v="10.75"/>
    <n v="9.9600000000000009"/>
    <n v="10.08"/>
    <n v="102.98"/>
    <n v="93.29"/>
    <n v="92.17"/>
    <n v="88.01"/>
  </r>
  <r>
    <x v="14"/>
    <s v="RRC"/>
    <x v="6"/>
    <n v="264.52800000000002"/>
    <n v="3.827"/>
    <n v="9.2539999999999996"/>
    <n v="57.168999999999997"/>
    <n v="343.01400000000001"/>
    <n v="0"/>
    <n v="0"/>
    <n v="0"/>
    <n v="0"/>
    <n v="0"/>
    <n v="57.168999999999997"/>
    <n v="343.01400000000001"/>
    <n v="1"/>
    <n v="0.77118718186429713"/>
    <n v="6.6941874092602632E-2"/>
    <n v="0.16187094404310029"/>
    <n v="22.306000000000001"/>
    <n v="167.935"/>
    <n v="2868.1619999999998"/>
    <n v="4009.6079999999997"/>
    <n v="961.55599999999959"/>
    <n v="668.26800000000003"/>
    <n v="160.2593333333333"/>
    <n v="0.31546574664736682"/>
    <m/>
    <n v="384.82499999999999"/>
    <n v="853.74599999999998"/>
    <n v="0"/>
    <n v="0"/>
    <n v="1238.5709999999999"/>
    <n v="2.9350000000000001"/>
    <n v="10.723000000000001"/>
    <n v="0"/>
    <n v="0"/>
    <n v="13.658000000000001"/>
    <n v="7.7430000000000003"/>
    <n v="135.81"/>
    <n v="0"/>
    <n v="0"/>
    <n v="143.553"/>
    <n v="2181.837"/>
    <n v="363.6395"/>
    <n v="137.53800000000001"/>
    <n v="0"/>
    <n v="254.15099999999998"/>
    <n v="985.75400000000002"/>
    <n v="1377.443"/>
    <n v="4625.375"/>
    <n v="962.66133333333323"/>
    <n v="5775.9680000000008"/>
    <n v="4.8047790430971924"/>
    <n v="0.80079650718286521"/>
    <s v="Additions include oil and purchases; excludes sales. Capital excludes asset retirement obligations and stock based compensation expense and includes gas gathering facilities. Unproved property = Acerage Purchases + Unproved Leasehold_x000a_Exploration= Drilling + Expense + development (Under Gas Gathering Facilities)"/>
    <n v="384.29999999999995"/>
    <n v="0"/>
    <n v="291.2"/>
    <n v="291.2"/>
    <n v="0"/>
    <n v="-0.34699999999999998"/>
    <n v="-0.34699999999999998"/>
    <n v="0"/>
    <n v="45.24"/>
    <n v="45.24"/>
    <n v="0"/>
    <n v="176.55"/>
    <n v="176.55"/>
    <n v="1715.6759999999999"/>
    <n v="1715.6759999999999"/>
    <n v="1"/>
    <n v="896.94299999999998"/>
    <n v="15.689324633979954"/>
    <n v="2.614887438996659"/>
    <s v="G&amp;A Excludes deferred compensation plan. LOE excludes &quot;Brokered Natural Gas and Marketing&quot;"/>
    <n v="2274.386"/>
    <n v="227.43860000000001"/>
    <n v="0.16511652387793907"/>
    <n v="3.9783554024034009"/>
    <n v="0.66305923373390008"/>
    <n v="24.09422939005405"/>
    <n v="4.0157048983423413"/>
    <n v="20.494103677077145"/>
    <n v="24.472459079480547"/>
    <n v="44.588333067131195"/>
    <n v="3.4156839461795241"/>
    <n v="4.0787431799134239"/>
    <n v="7.4313888445218659"/>
    <n v="4"/>
    <n v="2.0494103677077145"/>
    <n v="117.16274131148232"/>
    <n v="8.5058141288955197E-2"/>
    <n v="6.9640000000000004"/>
    <m/>
    <m/>
    <n v="253.67815999999999"/>
    <n v="62.024000000000001"/>
    <n v="4.09"/>
    <n v="272.68920000000003"/>
    <n v="64.926000000000002"/>
    <n v="4.2"/>
    <n v="263.93700000000001"/>
    <n v="68.025000000000006"/>
    <n v="3.88"/>
    <n v="275.31664000000012"/>
    <n v="69.553000000000026"/>
    <n v="3.9583718890630171"/>
    <n v="1065.6210000000001"/>
    <n v="264.52800000000002"/>
    <n v="4"/>
    <n v="77.996094519999986"/>
    <n v="0.91266199999999997"/>
    <n v="85.46"/>
    <n v="73.561751529999995"/>
    <n v="0.86451699999999998"/>
    <n v="85.09"/>
    <n v="86.999390980000001"/>
    <n v="1.0180130000000001"/>
    <n v="85.46"/>
    <n v="85.589662970000063"/>
    <n v="1.0318080000000003"/>
    <n v="82.951152704766812"/>
    <n v="324.14690000000002"/>
    <n v="3.827"/>
    <n v="84.7"/>
    <n v="63.503540639999997"/>
    <n v="1.889424"/>
    <n v="33.61"/>
    <n v="69.620742989999997"/>
    <n v="2.1154890000000002"/>
    <n v="32.909999999999997"/>
    <n v="73.4215272"/>
    <n v="2.3623400000000001"/>
    <n v="31.08"/>
    <n v="63.475239170000052"/>
    <n v="1.887747000000001"/>
    <n v="33.624865604342119"/>
    <n v="270.02105000000006"/>
    <n v="8.2550000000000008"/>
    <n v="32.71"/>
    <n v="97.98"/>
    <n v="3.73"/>
    <n v="9.94"/>
    <n v="3.49"/>
    <n v="4.01"/>
    <x v="2"/>
    <n v="3.85"/>
    <n v="9.77"/>
    <n v="9.39"/>
    <n v="10.01"/>
    <n v="10.53"/>
    <n v="94.33"/>
    <n v="94.05"/>
    <n v="105.83"/>
    <n v="97.44"/>
  </r>
  <r>
    <x v="14"/>
    <s v="RRC"/>
    <x v="7"/>
    <n v="286.92599999999999"/>
    <n v="4.07"/>
    <n v="18.821000000000002"/>
    <n v="70.712000000000003"/>
    <n v="424.27200000000005"/>
    <n v="0"/>
    <n v="0"/>
    <n v="0"/>
    <n v="0"/>
    <n v="0"/>
    <n v="70.712000000000003"/>
    <n v="424.27200000000005"/>
    <n v="1"/>
    <n v="0.67627842516121728"/>
    <n v="5.7557415997284762E-2"/>
    <n v="0.26616415884149791"/>
    <n v="24.478000000000002"/>
    <n v="245.636"/>
    <n v="3339.7849999999999"/>
    <n v="4960.4690000000001"/>
    <n v="950.86100000000033"/>
    <n v="826.74483333333319"/>
    <n v="158.47683333333316"/>
    <n v="0.23714562620585328"/>
    <m/>
    <n v="-30.565999999999999"/>
    <n v="1393.1079999999999"/>
    <n v="262.81299999999999"/>
    <n v="0"/>
    <n v="1625.355"/>
    <n v="515"/>
    <n v="12.936"/>
    <n v="0"/>
    <n v="0"/>
    <n v="527.93600000000004"/>
    <n v="19.716000000000001"/>
    <n v="154.66399999999999"/>
    <n v="0"/>
    <n v="0"/>
    <n v="174.38"/>
    <n v="5839.2509999999993"/>
    <n v="973.20850000000007"/>
    <n v="630.72699999999998"/>
    <n v="0"/>
    <n v="244.47299999999998"/>
    <n v="1133.0329999999999"/>
    <n v="2008.2329999999997"/>
    <n v="5044.3059999999996"/>
    <n v="1649.5536666666667"/>
    <n v="9897.3220000000001"/>
    <n v="3.0579823511855024"/>
    <n v="0.50966372519758374"/>
    <m/>
    <n v="475.8"/>
    <n v="0"/>
    <n v="213.4"/>
    <n v="213.4"/>
    <n v="0"/>
    <n v="-0.156"/>
    <n v="-0.156"/>
    <n v="0"/>
    <n v="44.555"/>
    <n v="44.555"/>
    <n v="0"/>
    <n v="167.977"/>
    <n v="167.977"/>
    <n v="1911.989"/>
    <n v="1911.989"/>
    <n v="1"/>
    <n v="901.57600000000002"/>
    <n v="12.749971716257495"/>
    <n v="2.1249952860429158"/>
    <m/>
    <n v="2909.8089999999997"/>
    <n v="290.98089999999996"/>
    <n v="0.14489399387421678"/>
    <n v="4.1150144247086766"/>
    <n v="0.6858357374514461"/>
    <n v="28.400172530829273"/>
    <n v="4.7333620884715453"/>
    <n v="15.807954067442997"/>
    <n v="19.922968492151675"/>
    <n v="44.208126598272273"/>
    <n v="2.6346590112404993"/>
    <n v="3.3204947486919454"/>
    <n v="7.3680210997120446"/>
    <n v="4"/>
    <n v="1.5807954067442997"/>
    <n v="111.78120480170293"/>
    <n v="5.566147195156286E-2"/>
    <n v="2.996"/>
    <m/>
    <m/>
    <n v="260.47559999999999"/>
    <n v="62.018000000000001"/>
    <n v="4.2"/>
    <n v="262.91656"/>
    <n v="67.762"/>
    <n v="3.88"/>
    <n v="274.66395"/>
    <n v="75.665000000000006"/>
    <n v="3.63"/>
    <n v="347.61888999999996"/>
    <n v="81.48099999999998"/>
    <n v="4.2662570415188821"/>
    <n v="1145.675"/>
    <n v="286.92599999999999"/>
    <n v="3.79"/>
    <n v="84.912944350000004"/>
    <n v="1.035145"/>
    <n v="82.03"/>
    <n v="79.792173669999997"/>
    <n v="0.98960899999999996"/>
    <n v="80.63"/>
    <n v="77.503698"/>
    <n v="0.98529999999999995"/>
    <n v="78.66"/>
    <n v="82.373683980000038"/>
    <n v="1.0599460000000001"/>
    <n v="77.714981687746388"/>
    <n v="324.58250000000004"/>
    <n v="4.07"/>
    <n v="79.75"/>
    <n v="113.35204335"/>
    <n v="4.4714809999999998"/>
    <n v="25.35"/>
    <n v="108.82058636000001"/>
    <n v="4.4708540000000001"/>
    <n v="24.34"/>
    <n v="111.18289146000001"/>
    <n v="4.934882"/>
    <n v="22.53"/>
    <n v="124.18298883000003"/>
    <n v="4.9437830000000007"/>
    <n v="25.119020966332869"/>
    <n v="457.53851000000003"/>
    <n v="18.821000000000002"/>
    <n v="24.31"/>
    <n v="93.17"/>
    <n v="4.37"/>
    <n v="9.56"/>
    <n v="5.21"/>
    <n v="4.6100000000000003"/>
    <x v="3"/>
    <n v="3.8"/>
    <n v="11.19"/>
    <n v="10.15"/>
    <n v="9.83"/>
    <n v="7.41"/>
    <n v="98.68"/>
    <n v="103.35"/>
    <n v="97.87"/>
    <n v="73.209999999999994"/>
  </r>
  <r>
    <x v="14"/>
    <s v="RRC"/>
    <x v="8"/>
    <n v="362.68700000000001"/>
    <n v="4.0839999999999996"/>
    <n v="20.356000000000002"/>
    <n v="84.887833333333333"/>
    <n v="509.32700000000006"/>
    <n v="0"/>
    <n v="0"/>
    <n v="0"/>
    <n v="0"/>
    <n v="0"/>
    <n v="84.887833333333333"/>
    <n v="509.32700000000006"/>
    <n v="1"/>
    <n v="0.71209066081319072"/>
    <n v="4.8110545877206583E-2"/>
    <n v="0.23979879330960269"/>
    <n v="21.513999999999999"/>
    <n v="239.828"/>
    <n v="2901.5329999999999"/>
    <n v="4469.585"/>
    <n v="-490.88400000000001"/>
    <n v="744.93083333333334"/>
    <n v="-81.813999999999851"/>
    <n v="-9.8959191157126314E-2"/>
    <m/>
    <n v="-340.286"/>
    <n v="1017.956"/>
    <n v="0"/>
    <n v="0"/>
    <n v="677.67000000000007"/>
    <n v="3.8039999999999998"/>
    <n v="4.9240000000000004"/>
    <n v="0"/>
    <n v="0"/>
    <n v="8.7279999999999998"/>
    <n v="17.716999999999999"/>
    <n v="36.308"/>
    <n v="0"/>
    <n v="0"/>
    <n v="54.024999999999999"/>
    <n v="1054.1880000000001"/>
    <n v="175.69800000000001"/>
    <n v="73.025000000000006"/>
    <n v="0"/>
    <n v="108.91099999999999"/>
    <n v="721.60500000000002"/>
    <n v="903.54099999999994"/>
    <n v="4289.2169999999996"/>
    <n v="1512.546"/>
    <n v="9075.2759999999998"/>
    <n v="2.8357597058205171"/>
    <n v="0.47262661763675284"/>
    <m/>
    <n v="533.10199999999998"/>
    <n v="0"/>
    <n v="194.01499999999999"/>
    <n v="194.01499999999999"/>
    <n v="0"/>
    <n v="0.1"/>
    <n v="0.1"/>
    <n v="0"/>
    <n v="33.86"/>
    <n v="33.86"/>
    <n v="0"/>
    <n v="166.43899999999999"/>
    <n v="166.43899999999999"/>
    <n v="1089.644"/>
    <n v="1089.644"/>
    <n v="1"/>
    <n v="927.51599999999996"/>
    <n v="10.926371466660907"/>
    <n v="1.8210619111101509"/>
    <m/>
    <n v="1831.0569999999998"/>
    <n v="183.10569999999998"/>
    <n v="0.2026534490410507"/>
    <n v="2.1570311410940319"/>
    <n v="0.35950519018233856"/>
    <n v="10.643939944279412"/>
    <n v="1.773989990713235"/>
    <n v="13.762131172481425"/>
    <n v="15.919162313575457"/>
    <n v="24.406071116760835"/>
    <n v="2.2936885287469035"/>
    <n v="2.6531937189292423"/>
    <n v="4.0676785194601388"/>
    <n v="4"/>
    <n v="1.3762131172481424"/>
    <n v="116.82374972810744"/>
    <n v="0.12929546055807922"/>
    <n v="4.1609999999999996"/>
    <m/>
    <m/>
    <n v="284.97012744"/>
    <n v="80.500035999999994"/>
    <n v="3.54"/>
    <n v="258.82512350000002"/>
    <n v="87.73733"/>
    <n v="2.95"/>
    <n v="269.44825703000004"/>
    <n v="97.273739000000006"/>
    <n v="2.77"/>
    <n v="300.20558203000007"/>
    <n v="97.175894999999997"/>
    <n v="3.0893009221062497"/>
    <n v="1113.4490900000001"/>
    <n v="362.68700000000001"/>
    <n v="3.07"/>
    <n v="72.961777600000005"/>
    <n v="1.13896"/>
    <n v="64.06"/>
    <n v="73.644589199999999"/>
    <n v="1.0894170000000001"/>
    <n v="67.599999999999994"/>
    <n v="73.095385000000007"/>
    <n v="0.95862800000000004"/>
    <n v="76.25"/>
    <n v="71.405768199999955"/>
    <n v="0.89699499999999954"/>
    <n v="79.605536485710616"/>
    <n v="291.10751999999997"/>
    <n v="4.0839999999999996"/>
    <n v="71.28"/>
    <n v="65.383167200000003"/>
    <n v="5.3592760000000004"/>
    <n v="12.2"/>
    <n v="50.89811619000001"/>
    <n v="5.1051270000000004"/>
    <n v="9.9700000000000006"/>
    <n v="47.109119399999997"/>
    <n v="4.9850919999999999"/>
    <n v="9.4499999999999993"/>
    <n v="55.029477210000024"/>
    <n v="4.9065050000000001"/>
    <n v="11.215616250263686"/>
    <n v="218.41988000000003"/>
    <n v="20.356000000000002"/>
    <n v="10.73"/>
    <n v="48.66"/>
    <n v="2.62"/>
    <n v="4.97"/>
    <n v="2.9"/>
    <n v="2.75"/>
    <x v="4"/>
    <n v="2.12"/>
    <n v="5.43"/>
    <n v="5.2"/>
    <n v="4.68"/>
    <n v="4.5999999999999996"/>
    <n v="48.49"/>
    <n v="57.85"/>
    <n v="46.64"/>
    <n v="41.94"/>
  </r>
  <r>
    <x v="14"/>
    <s v="RRC"/>
    <x v="9"/>
    <n v="375.81099999999998"/>
    <n v="3.609"/>
    <n v="27.826000000000001"/>
    <n v="94.070166666666665"/>
    <n v="564.42100000000005"/>
    <n v="0"/>
    <n v="0"/>
    <n v="0"/>
    <n v="0"/>
    <n v="0"/>
    <n v="94.070166666666665"/>
    <n v="564.42100000000005"/>
    <n v="1"/>
    <n v="0.66583454548997989"/>
    <n v="3.8364979332802994E-2"/>
    <n v="0.29580047517721703"/>
    <n v="31.143000000000001"/>
    <n v="266.214"/>
    <n v="3518.2750000000001"/>
    <n v="5302.4170000000004"/>
    <n v="832.83200000000033"/>
    <n v="883.73616666666669"/>
    <n v="138.80533333333335"/>
    <n v="0.1863331830583824"/>
    <m/>
    <n v="-30.565999999999999"/>
    <n v="1393.1079999999999"/>
    <n v="262.81299999999999"/>
    <n v="0"/>
    <n v="1625.355"/>
    <n v="0.51500000000000001"/>
    <n v="1.2999999999999999E-2"/>
    <n v="0"/>
    <n v="0"/>
    <n v="0.52800000000000002"/>
    <n v="19.716000000000001"/>
    <n v="154.66399999999999"/>
    <n v="0"/>
    <n v="0"/>
    <n v="174.38"/>
    <n v="2674.8029999999999"/>
    <n v="445.8005"/>
    <n v="33.142000000000003"/>
    <n v="0"/>
    <n v="70.004999999999995"/>
    <n v="501.39000000000004"/>
    <n v="604.53700000000003"/>
    <n v="3516.3109999999997"/>
    <n v="1594.7070000000001"/>
    <n v="9568.2419999999984"/>
    <n v="2.2049887534199071"/>
    <n v="0.36749812556998457"/>
    <m/>
    <n v="662.54699999999991"/>
    <n v="0"/>
    <n v="184.77199999999999"/>
    <n v="184.77199999999999"/>
    <n v="0"/>
    <n v="-0.10199999999999999"/>
    <n v="-0.10199999999999999"/>
    <n v="0"/>
    <n v="25.443000000000001"/>
    <n v="25.443000000000001"/>
    <n v="0"/>
    <n v="168.21299999999999"/>
    <n v="168.21299999999999"/>
    <n v="1197.2149999999999"/>
    <n v="1197.2149999999999"/>
    <n v="1"/>
    <n v="1040.873"/>
    <n v="11.064857615148977"/>
    <n v="1.8441429358581625"/>
    <m/>
    <n v="1645.41"/>
    <n v="164.54100000000003"/>
    <n v="0.27217688909032867"/>
    <n v="1.7491305249095979"/>
    <n v="0.29152175415159964"/>
    <n v="6.4264476339470011"/>
    <n v="1.0710746056578333"/>
    <n v="13.269846368568885"/>
    <n v="15.018976893478483"/>
    <n v="19.696294002515884"/>
    <n v="2.2116410614281472"/>
    <n v="2.503162815579747"/>
    <n v="3.2827156670859807"/>
    <n v="4"/>
    <n v="1.3269846368568885"/>
    <n v="124.82966595323364"/>
    <n v="0.20648804945476229"/>
    <n v="7.4119999999999999"/>
    <m/>
    <m/>
    <n v="228.29322529999999"/>
    <n v="84.867369999999994"/>
    <n v="2.69"/>
    <n v="209.15337492"/>
    <n v="82.997371000000001"/>
    <n v="2.52"/>
    <n v="233.66596250000001"/>
    <n v="93.466385000000002"/>
    <n v="2.5"/>
    <n v="336.06091728000001"/>
    <n v="114.479874"/>
    <n v="2.9355458347202585"/>
    <n v="1007.17348"/>
    <n v="375.81099999999998"/>
    <n v="2.68"/>
    <n v="29.965662090000002"/>
    <n v="0.84434100000000001"/>
    <n v="35.49"/>
    <n v="34.389298239999995"/>
    <n v="0.84953800000000002"/>
    <n v="40.479999999999997"/>
    <n v="40.519573659999999"/>
    <n v="0.81087799999999999"/>
    <n v="49.97"/>
    <n v="67.707846010000026"/>
    <n v="1.1042430000000003"/>
    <n v="61.316074460059973"/>
    <n v="172.58238"/>
    <n v="3.609"/>
    <n v="47.82"/>
    <n v="61.06178148"/>
    <n v="5.9747339999999998"/>
    <n v="10.220000000000001"/>
    <n v="79.439018360000006"/>
    <n v="6.8659480000000004"/>
    <n v="11.57"/>
    <n v="83.767771229999994"/>
    <n v="6.7391610000000002"/>
    <n v="12.43"/>
    <n v="141.92158892999998"/>
    <n v="8.246157000000002"/>
    <n v="17.210633866175474"/>
    <n v="366.19015999999999"/>
    <n v="27.826000000000001"/>
    <n v="13.16"/>
    <n v="43.2"/>
    <n v="2.52"/>
    <n v="5.04"/>
    <n v="1.99"/>
    <n v="2.15"/>
    <x v="1"/>
    <n v="3.04"/>
    <n v="4.0199999999999996"/>
    <n v="5"/>
    <n v="5.04"/>
    <n v="6.05"/>
    <n v="33.35"/>
    <n v="45.46"/>
    <n v="44.85"/>
    <n v="49.14"/>
  </r>
  <r>
    <x v="15"/>
    <s v="SWN"/>
    <x v="0"/>
    <n v="109.881"/>
    <n v="0.61399999999999999"/>
    <n v="0"/>
    <n v="18.927500000000002"/>
    <n v="113.565"/>
    <n v="0"/>
    <n v="0"/>
    <n v="0"/>
    <n v="0"/>
    <n v="0"/>
    <n v="18.927500000000002"/>
    <n v="113.565"/>
    <n v="1"/>
    <n v="0.96756042794875186"/>
    <n v="3.2439572051248179E-2"/>
    <n v="0"/>
    <n v="1643"/>
    <n v="0"/>
    <n v="516.57799999999997"/>
    <n v="10374.578"/>
    <m/>
    <n v="1729.0963333333334"/>
    <m/>
    <m/>
    <m/>
    <n v="30.489000000000001"/>
    <n v="498.14100000000002"/>
    <n v="0.20399999999999999"/>
    <n v="0"/>
    <n v="528.83399999999995"/>
    <n v="8.1000000000000003E-2"/>
    <n v="1.585"/>
    <n v="0"/>
    <n v="0"/>
    <n v="1.6659999999999999"/>
    <n v="0"/>
    <n v="0"/>
    <n v="0"/>
    <n v="0"/>
    <n v="0"/>
    <n v="538.82999999999993"/>
    <n v="89.804999999999993"/>
    <n v="119.536"/>
    <n v="0"/>
    <n v="0"/>
    <n v="1375.2"/>
    <n v="1494.7360000000001"/>
    <m/>
    <m/>
    <m/>
    <m/>
    <m/>
    <s v="Includes oil and excludes sales. Capital includes capitalized costs incurred plus net unevaluated costs excluded from the full cost pool."/>
    <m/>
    <m/>
    <m/>
    <m/>
    <m/>
    <m/>
    <m/>
    <m/>
    <m/>
    <m/>
    <m/>
    <m/>
    <m/>
    <n v="0"/>
    <n v="0"/>
    <m/>
    <m/>
    <m/>
    <m/>
    <m/>
    <m/>
    <m/>
    <m/>
    <m/>
    <m/>
    <m/>
    <m/>
    <m/>
    <m/>
    <m/>
    <m/>
    <m/>
    <m/>
    <n v="4"/>
    <m/>
    <m/>
    <m/>
    <m/>
    <m/>
    <m/>
    <m/>
    <m/>
    <m/>
    <m/>
    <m/>
    <m/>
    <m/>
    <m/>
    <m/>
    <m/>
    <m/>
    <m/>
    <m/>
    <m/>
    <m/>
    <m/>
    <m/>
    <m/>
    <m/>
    <m/>
    <m/>
    <m/>
    <m/>
    <m/>
    <m/>
    <m/>
    <m/>
    <m/>
    <m/>
    <m/>
    <m/>
    <m/>
    <m/>
    <m/>
    <m/>
    <m/>
    <m/>
    <m/>
    <m/>
    <m/>
    <m/>
    <m/>
    <m/>
    <m/>
    <m/>
    <n v="72.34"/>
    <n v="6.97"/>
    <n v="12.91"/>
    <m/>
    <m/>
    <x v="0"/>
    <m/>
    <m/>
    <m/>
    <m/>
    <m/>
    <m/>
    <m/>
    <m/>
    <m/>
  </r>
  <r>
    <x v="15"/>
    <s v="SWN"/>
    <x v="1"/>
    <n v="192.26499999999999"/>
    <n v="0.38500000000000001"/>
    <n v="0"/>
    <n v="32.42916666666666"/>
    <n v="194.57499999999999"/>
    <n v="0"/>
    <n v="0"/>
    <n v="0"/>
    <n v="0"/>
    <n v="0"/>
    <n v="32.42916666666666"/>
    <n v="194.57499999999999"/>
    <n v="1"/>
    <n v="0.98812797121932416"/>
    <n v="1.1872028780675834E-2"/>
    <n v="0"/>
    <n v="155"/>
    <n v="0"/>
    <n v="839.15800000000002"/>
    <n v="1769.1579999999999"/>
    <n v="-8605.42"/>
    <n v="294.85966666666667"/>
    <n v="-1434.2366666666667"/>
    <n v="-0.82947181080522014"/>
    <m/>
    <n v="100.23"/>
    <n v="919.62300000000005"/>
    <n v="0"/>
    <n v="0"/>
    <n v="1019.8530000000001"/>
    <n v="-0.35499999999999998"/>
    <n v="9.2999999999999999E-2"/>
    <n v="0"/>
    <n v="0"/>
    <n v="-0.26200000000000001"/>
    <n v="0"/>
    <n v="0"/>
    <n v="0"/>
    <n v="0"/>
    <n v="0"/>
    <n v="1018.2810000000001"/>
    <n v="169.71350000000001"/>
    <n v="121.871"/>
    <n v="0"/>
    <n v="0"/>
    <n v="1569.1"/>
    <n v="1690.971"/>
    <m/>
    <m/>
    <m/>
    <m/>
    <m/>
    <s v="Includes oil and excludes sales. Capital includes capitalized costs incurred plus net unevaluated costs excluded from the full cost pool."/>
    <m/>
    <m/>
    <m/>
    <m/>
    <m/>
    <m/>
    <m/>
    <m/>
    <m/>
    <m/>
    <m/>
    <m/>
    <m/>
    <n v="0"/>
    <n v="0"/>
    <m/>
    <m/>
    <m/>
    <m/>
    <m/>
    <m/>
    <m/>
    <m/>
    <m/>
    <m/>
    <m/>
    <m/>
    <m/>
    <m/>
    <m/>
    <m/>
    <m/>
    <m/>
    <n v="4"/>
    <m/>
    <m/>
    <m/>
    <m/>
    <m/>
    <m/>
    <m/>
    <m/>
    <m/>
    <m/>
    <m/>
    <m/>
    <m/>
    <m/>
    <m/>
    <m/>
    <m/>
    <m/>
    <m/>
    <m/>
    <m/>
    <m/>
    <m/>
    <m/>
    <m/>
    <m/>
    <m/>
    <m/>
    <m/>
    <m/>
    <m/>
    <m/>
    <m/>
    <m/>
    <m/>
    <m/>
    <m/>
    <m/>
    <m/>
    <m/>
    <m/>
    <m/>
    <m/>
    <m/>
    <m/>
    <m/>
    <m/>
    <m/>
    <m/>
    <m/>
    <m/>
    <n v="99.67"/>
    <n v="8.86"/>
    <n v="15.2"/>
    <m/>
    <m/>
    <x v="0"/>
    <m/>
    <m/>
    <m/>
    <m/>
    <m/>
    <m/>
    <m/>
    <m/>
    <m/>
  </r>
  <r>
    <x v="15"/>
    <s v="SWN"/>
    <x v="2"/>
    <n v="299.69799999999998"/>
    <n v="0.124"/>
    <n v="0"/>
    <n v="50.073666666666668"/>
    <n v="300.44200000000001"/>
    <n v="0"/>
    <n v="0"/>
    <n v="0"/>
    <n v="0"/>
    <n v="0"/>
    <n v="50.073666666666668"/>
    <n v="300.44200000000001"/>
    <n v="1"/>
    <n v="0.99752364849122288"/>
    <n v="2.4763515087770686E-3"/>
    <n v="0"/>
    <n v="31"/>
    <n v="0"/>
    <n v="1677.5360000000001"/>
    <n v="1863.5360000000001"/>
    <n v="94.378000000000156"/>
    <n v="310.58933333333334"/>
    <n v="15.729666666666674"/>
    <n v="5.3346281112257948E-2"/>
    <m/>
    <n v="94.93"/>
    <n v="1683.2639999999999"/>
    <n v="1.7949999999999999"/>
    <n v="0"/>
    <n v="1779.989"/>
    <n v="-0.34599999999999997"/>
    <n v="2.1999999999999999E-2"/>
    <n v="0"/>
    <n v="0"/>
    <n v="-0.32399999999999995"/>
    <n v="0"/>
    <n v="0"/>
    <n v="0"/>
    <n v="0"/>
    <n v="0"/>
    <n v="1778.0450000000001"/>
    <n v="296.34083333333331"/>
    <n v="115.217"/>
    <n v="4.3719999999999999"/>
    <n v="52.177999999999997"/>
    <n v="1358.1089999999999"/>
    <n v="1529.876"/>
    <n v="4715.5830000000005"/>
    <n v="555.85933333333332"/>
    <n v="3335.1559999999999"/>
    <n v="8.483410671045073"/>
    <n v="1.4139017785075123"/>
    <s v="Includes oil and excludes sales. Capital includes capitalized costs incurred plus net unevaluated costs excluded from the full cost pool."/>
    <n v="231.34034"/>
    <n v="0"/>
    <n v="105.15469999999999"/>
    <n v="105.15469999999999"/>
    <n v="-64.968999999999994"/>
    <n v="0"/>
    <n v="-47.922518118515612"/>
    <n v="0"/>
    <n v="33.935000000000002"/>
    <n v="33.935000000000002"/>
    <n v="61.152000000000001"/>
    <n v="0"/>
    <n v="45.107017623535334"/>
    <n v="1582.596"/>
    <n v="2145.54"/>
    <n v="0.73762129813473531"/>
    <n v="367.61453950501971"/>
    <n v="7.3414743512229252"/>
    <n v="1.2235790585371542"/>
    <m/>
    <n v="1897.4905395050196"/>
    <n v="189.74905395050197"/>
    <n v="0.12402904153702782"/>
    <n v="3.7893980325753782"/>
    <n v="0.63156633876256307"/>
    <n v="30.552505974530856"/>
    <n v="5.0920843290884763"/>
    <n v="15.824885022267999"/>
    <n v="19.614283054843376"/>
    <n v="46.377390996798852"/>
    <n v="2.6374808370446665"/>
    <n v="3.2690471758072297"/>
    <n v="7.7295651661331428"/>
    <n v="4"/>
    <n v="1.5824885022267998"/>
    <n v="79.241001764337369"/>
    <n v="5.1795702242755211E-2"/>
    <m/>
    <n v="595"/>
    <m/>
    <m/>
    <m/>
    <m/>
    <m/>
    <m/>
    <m/>
    <m/>
    <m/>
    <m/>
    <m/>
    <m/>
    <m/>
    <m/>
    <m/>
    <m/>
    <m/>
    <m/>
    <m/>
    <m/>
    <m/>
    <m/>
    <m/>
    <m/>
    <m/>
    <m/>
    <m/>
    <m/>
    <m/>
    <m/>
    <m/>
    <m/>
    <m/>
    <m/>
    <m/>
    <m/>
    <m/>
    <m/>
    <m/>
    <m/>
    <m/>
    <m/>
    <m/>
    <m/>
    <m/>
    <m/>
    <n v="61.95"/>
    <n v="3.94"/>
    <n v="8.99"/>
    <m/>
    <m/>
    <x v="0"/>
    <m/>
    <m/>
    <m/>
    <m/>
    <m/>
    <m/>
    <m/>
    <m/>
    <m/>
  </r>
  <r>
    <x v="15"/>
    <s v="SWN"/>
    <x v="3"/>
    <n v="403.63600000000002"/>
    <n v="0.17100000000000001"/>
    <n v="0"/>
    <n v="67.443666666666672"/>
    <n v="404.66200000000003"/>
    <n v="0"/>
    <n v="0"/>
    <n v="0"/>
    <n v="0"/>
    <n v="0"/>
    <n v="67.443666666666672"/>
    <n v="404.66200000000003"/>
    <n v="1"/>
    <n v="0.99746455066203399"/>
    <n v="2.5354493379660063E-3"/>
    <n v="0"/>
    <n v="46"/>
    <n v="0"/>
    <n v="2242.7420000000002"/>
    <n v="2518.7420000000002"/>
    <n v="655.20600000000013"/>
    <n v="419.79033333333336"/>
    <n v="109.20100000000002"/>
    <n v="0.35159288578272707"/>
    <m/>
    <n v="309.29199999999997"/>
    <n v="1429.4390000000001"/>
    <n v="0"/>
    <n v="0"/>
    <n v="1738.731"/>
    <n v="1.0589999999999999"/>
    <n v="0.28100000000000003"/>
    <n v="0"/>
    <n v="0"/>
    <n v="1.3399999999999999"/>
    <n v="0"/>
    <n v="0"/>
    <n v="0"/>
    <n v="0"/>
    <n v="0"/>
    <n v="1746.771"/>
    <n v="291.12849999999997"/>
    <n v="227.40899999999999"/>
    <n v="0"/>
    <n v="20.862000000000002"/>
    <n v="1524.4349999999999"/>
    <n v="1772.7059999999999"/>
    <n v="4993.5529999999999"/>
    <n v="757.18283333333329"/>
    <n v="4543.0969999999998"/>
    <n v="6.5949104762676214"/>
    <n v="1.0991517460446036"/>
    <s v="Includes oil and excludes sales. Capital includes capitalized costs incurred plus net unevaluated costs excluded from the full cost pool."/>
    <n v="335.86946"/>
    <n v="0"/>
    <n v="121.3986"/>
    <n v="121.3986"/>
    <n v="11.939"/>
    <n v="0"/>
    <n v="8.5602155716766202"/>
    <n v="0"/>
    <n v="44.2"/>
    <n v="44.2"/>
    <n v="55.581000000000003"/>
    <n v="0"/>
    <n v="39.851356201470658"/>
    <n v="1871.835"/>
    <n v="2610.663"/>
    <n v="0.71699602744590163"/>
    <n v="549.87963177314737"/>
    <n v="8.153169288539285"/>
    <n v="1.3588615480898807"/>
    <m/>
    <n v="2322.5856317731473"/>
    <n v="232.25856317731473"/>
    <n v="0.13101922325377965"/>
    <n v="3.4437416388588211"/>
    <n v="0.57395693980980356"/>
    <n v="26.284247100048926"/>
    <n v="4.3807078500081547"/>
    <n v="14.748079764806906"/>
    <n v="18.191821403665728"/>
    <n v="41.032326864855833"/>
    <n v="2.4580132941344841"/>
    <n v="3.0319702339442878"/>
    <n v="6.8387211441426388"/>
    <n v="4"/>
    <n v="1.4748079764806907"/>
    <n v="99.466457563104882"/>
    <n v="5.6109957073031222E-2"/>
    <m/>
    <n v="712"/>
    <m/>
    <m/>
    <m/>
    <m/>
    <m/>
    <m/>
    <m/>
    <m/>
    <m/>
    <m/>
    <m/>
    <m/>
    <m/>
    <m/>
    <m/>
    <m/>
    <m/>
    <m/>
    <m/>
    <m/>
    <m/>
    <m/>
    <m/>
    <m/>
    <m/>
    <m/>
    <m/>
    <m/>
    <m/>
    <m/>
    <m/>
    <m/>
    <m/>
    <m/>
    <m/>
    <m/>
    <m/>
    <m/>
    <m/>
    <m/>
    <m/>
    <m/>
    <m/>
    <m/>
    <m/>
    <m/>
    <n v="79.48"/>
    <n v="4.37"/>
    <n v="11.83"/>
    <m/>
    <m/>
    <x v="0"/>
    <m/>
    <m/>
    <m/>
    <m/>
    <m/>
    <m/>
    <m/>
    <m/>
    <m/>
  </r>
  <r>
    <x v="15"/>
    <s v="SWN"/>
    <x v="4"/>
    <n v="499.43299999999999"/>
    <n v="9.7000000000000003E-2"/>
    <n v="0"/>
    <n v="83.335833333333326"/>
    <n v="500.01499999999999"/>
    <n v="0"/>
    <n v="0"/>
    <n v="0"/>
    <n v="0"/>
    <n v="0"/>
    <n v="83.335833333333326"/>
    <n v="500.01499999999999"/>
    <n v="1"/>
    <n v="0.99883603491895245"/>
    <n v="1.1639650810475687E-3"/>
    <n v="0"/>
    <n v="13"/>
    <n v="0"/>
    <n v="2633.1889999999999"/>
    <n v="2711.1889999999999"/>
    <n v="192.44699999999966"/>
    <n v="451.86483333333331"/>
    <n v="32.074499999999944"/>
    <n v="7.6405999502926314E-2"/>
    <m/>
    <n v="34.505000000000003"/>
    <n v="1459.4280000000001"/>
    <n v="1.2999999999999999E-2"/>
    <n v="0"/>
    <n v="1493.9460000000001"/>
    <n v="1.2190000000000001"/>
    <n v="-0.125"/>
    <n v="0"/>
    <n v="0"/>
    <n v="1.0940000000000001"/>
    <n v="0"/>
    <n v="0"/>
    <n v="0"/>
    <n v="0"/>
    <n v="0"/>
    <n v="1500.5100000000002"/>
    <n v="250.08500000000001"/>
    <n v="262.68600000000004"/>
    <n v="1.7000000000000001E-2"/>
    <n v="45.018999999999998"/>
    <n v="1633.7840000000001"/>
    <n v="1941.5060000000001"/>
    <n v="5244.0879999999997"/>
    <n v="837.55433333333326"/>
    <n v="5025.326"/>
    <n v="6.261191413253588"/>
    <n v="1.0435319022089313"/>
    <s v="Includes oil and excludes sales. Capital includes capitalized costs incurred plus net unevaluated costs excluded from the full cost pool."/>
    <n v="420.01259999999996"/>
    <n v="0"/>
    <n v="135.00405000000001"/>
    <n v="135.00405000000001"/>
    <n v="4.1980000000000004"/>
    <n v="0"/>
    <n v="2.969538021964476"/>
    <n v="0"/>
    <n v="53.95"/>
    <n v="53.95"/>
    <n v="65.421000000000006"/>
    <n v="0"/>
    <n v="46.276833476640782"/>
    <n v="2088.7629999999999"/>
    <n v="2952.8589999999999"/>
    <n v="0.70736970508920338"/>
    <n v="658.21302149860526"/>
    <n v="7.8983193084040115"/>
    <n v="1.3163865514006685"/>
    <m/>
    <n v="2599.7190214986053"/>
    <n v="259.97190214986057"/>
    <n v="0.13390218837843434"/>
    <n v="3.1195692387211653"/>
    <n v="0.51992820645352755"/>
    <n v="23.297373078807638"/>
    <n v="3.8828955131346063"/>
    <n v="14.1595107216576"/>
    <n v="17.279079960378766"/>
    <n v="37.456883800465235"/>
    <n v="2.3599184536096001"/>
    <n v="2.8798466600631274"/>
    <n v="6.2428139667442064"/>
    <n v="4"/>
    <n v="1.41595107216576"/>
    <n v="117.9994625581604"/>
    <n v="6.0777284519419668E-2"/>
    <m/>
    <n v="943"/>
    <m/>
    <m/>
    <m/>
    <m/>
    <m/>
    <m/>
    <m/>
    <m/>
    <m/>
    <m/>
    <m/>
    <m/>
    <m/>
    <m/>
    <m/>
    <m/>
    <m/>
    <m/>
    <m/>
    <m/>
    <m/>
    <m/>
    <m/>
    <m/>
    <m/>
    <m/>
    <m/>
    <m/>
    <m/>
    <m/>
    <m/>
    <m/>
    <m/>
    <m/>
    <m/>
    <m/>
    <m/>
    <m/>
    <m/>
    <m/>
    <m/>
    <m/>
    <m/>
    <m/>
    <m/>
    <m/>
    <n v="94.88"/>
    <n v="4"/>
    <n v="15.12"/>
    <m/>
    <m/>
    <x v="0"/>
    <m/>
    <m/>
    <m/>
    <m/>
    <m/>
    <m/>
    <m/>
    <m/>
    <m/>
  </r>
  <r>
    <x v="15"/>
    <s v="SWN"/>
    <x v="5"/>
    <n v="564.48400000000004"/>
    <n v="8.3000000000000004E-2"/>
    <n v="0"/>
    <n v="94.163666666666671"/>
    <n v="564.98200000000008"/>
    <n v="0"/>
    <n v="0"/>
    <n v="0"/>
    <n v="0"/>
    <n v="0"/>
    <n v="94.163666666666671"/>
    <n v="564.98200000000008"/>
    <n v="1"/>
    <n v="0.99911855598939425"/>
    <n v="8.8144401060564765E-4"/>
    <n v="0"/>
    <n v="1"/>
    <n v="0"/>
    <n v="821"/>
    <n v="827"/>
    <n v="-1884.1889999999999"/>
    <n v="137.83333333333334"/>
    <n v="-314.03149999999994"/>
    <n v="-0.69496777981911251"/>
    <m/>
    <n v="-2087.9850000000001"/>
    <n v="918.59400000000005"/>
    <n v="0"/>
    <n v="0"/>
    <n v="-1169.3910000000001"/>
    <n v="-4.3999999999999997E-2"/>
    <n v="0.154"/>
    <n v="0"/>
    <n v="0"/>
    <n v="0.11"/>
    <n v="0"/>
    <n v="0"/>
    <n v="0"/>
    <n v="0"/>
    <n v="0"/>
    <n v="-1168.731"/>
    <n v="-194.7885"/>
    <n v="217.22200000000001"/>
    <n v="0"/>
    <n v="194.78"/>
    <n v="1492.8409999999999"/>
    <n v="1904.8429999999998"/>
    <n v="5619.0550000000003"/>
    <n v="346.42499999999995"/>
    <n v="2078.5500000000002"/>
    <n v="16.220119795049438"/>
    <n v="2.7033532991749056"/>
    <s v="Includes oil and excludes sales. Capital includes capitalized costs incurred plus net unevaluated costs excluded from the full cost pool."/>
    <n v="451.98560000000009"/>
    <n v="0"/>
    <n v="146.89532000000003"/>
    <n v="146.89532000000003"/>
    <n v="0.81799999999999995"/>
    <n v="0"/>
    <n v="0.58878021978021977"/>
    <n v="0"/>
    <n v="56.262"/>
    <n v="56.262"/>
    <n v="96.296000000000006"/>
    <n v="0"/>
    <n v="69.311956043956044"/>
    <n v="1965"/>
    <n v="2730"/>
    <n v="0.71978021978021978"/>
    <n v="725.04365626373635"/>
    <n v="7.6998239547143408"/>
    <n v="1.2833039924523901"/>
    <m/>
    <n v="2629.8866562637363"/>
    <n v="262.98866562637363"/>
    <n v="0.1380631714143232"/>
    <n v="2.7928889659462457"/>
    <n v="0.46548149432437419"/>
    <n v="20.229065704748113"/>
    <n v="3.3715109507913517"/>
    <n v="23.919943749763778"/>
    <n v="26.712832715710025"/>
    <n v="44.149009454511891"/>
    <n v="3.9866572916272958"/>
    <n v="4.4521387859516697"/>
    <n v="7.3581682424186479"/>
    <n v="4"/>
    <n v="2.3919943749763779"/>
    <n v="225.23896099381733"/>
    <n v="0.11824542022298812"/>
    <m/>
    <n v="1023.888"/>
    <m/>
    <n v="463.88400000000001"/>
    <n v="133.30000000000001"/>
    <n v="3.48"/>
    <n v="428.06399999999996"/>
    <n v="137.19999999999999"/>
    <n v="3.12"/>
    <n v="491.72199999999998"/>
    <n v="144.19999999999999"/>
    <n v="3.41"/>
    <n v="559.93000000000006"/>
    <n v="150.30000000000001"/>
    <n v="3.7254158349966735"/>
    <n v="1943.6"/>
    <n v="565"/>
    <n v="3.44"/>
    <n v="2.50536"/>
    <n v="2.4E-2"/>
    <n v="104.39"/>
    <n v="1.6710400000000001"/>
    <n v="1.6E-2"/>
    <n v="104.44"/>
    <n v="1.8937299999999999"/>
    <n v="1.9E-2"/>
    <n v="99.67"/>
    <n v="2.3576900000000012"/>
    <n v="2.4E-2"/>
    <n v="98.237083333333374"/>
    <n v="8.4278200000000005"/>
    <n v="8.3000000000000004E-2"/>
    <n v="101.54"/>
    <m/>
    <m/>
    <m/>
    <m/>
    <m/>
    <m/>
    <m/>
    <m/>
    <m/>
    <m/>
    <m/>
    <m/>
    <m/>
    <m/>
    <m/>
    <n v="94.05"/>
    <n v="2.75"/>
    <n v="10.98"/>
    <n v="2.41"/>
    <n v="2.2799999999999998"/>
    <x v="1"/>
    <n v="3.4"/>
    <n v="13.14"/>
    <n v="10.75"/>
    <n v="9.9600000000000009"/>
    <n v="10.08"/>
    <n v="102.98"/>
    <n v="93.29"/>
    <n v="92.17"/>
    <n v="88.01"/>
  </r>
  <r>
    <x v="15"/>
    <s v="SWN"/>
    <x v="6"/>
    <n v="655.70399999999995"/>
    <n v="0.188"/>
    <n v="0"/>
    <n v="109.47199999999999"/>
    <n v="656.83199999999999"/>
    <n v="0"/>
    <n v="0"/>
    <n v="0"/>
    <n v="0"/>
    <n v="0"/>
    <n v="109.47199999999999"/>
    <n v="656.83199999999999"/>
    <n v="1"/>
    <n v="0.99828266588716741"/>
    <n v="1.7173341128325051E-3"/>
    <n v="0"/>
    <n v="1"/>
    <n v="0"/>
    <n v="2737"/>
    <n v="2743"/>
    <n v="1916"/>
    <n v="457.16666666666669"/>
    <n v="319.33333333333337"/>
    <n v="2.3168077388149939"/>
    <m/>
    <n v="325.37400000000002"/>
    <n v="3283.4949999999999"/>
    <n v="4.1139999999999999"/>
    <n v="0"/>
    <n v="3612.9829999999997"/>
    <n v="8.7999999999999995E-2"/>
    <n v="0.22900000000000001"/>
    <n v="0"/>
    <n v="0"/>
    <n v="0.317"/>
    <n v="0"/>
    <n v="0"/>
    <n v="0"/>
    <n v="0"/>
    <n v="0"/>
    <n v="3614.8849999999998"/>
    <n v="602.48083333333329"/>
    <n v="151.304"/>
    <n v="0.57199999999999995"/>
    <n v="180.66399999999999"/>
    <n v="1662.1379999999999"/>
    <n v="1994.6779999999999"/>
    <n v="5841.027"/>
    <n v="657.77733333333333"/>
    <n v="3946.6639999999998"/>
    <n v="8.8799456959092549"/>
    <n v="1.4799909493182091"/>
    <s v="Includes oil and excludes sales. Capital includes capitalized costs incurred plus net unevaluated costs excluded from the full cost pool."/>
    <n v="564.87551999999994"/>
    <n v="0"/>
    <n v="157.63968"/>
    <n v="157.63968"/>
    <n v="18.786999999999999"/>
    <n v="0"/>
    <n v="13.373985193959136"/>
    <n v="0"/>
    <n v="65.683199999999999"/>
    <n v="65.683199999999999"/>
    <n v="100"/>
    <n v="0"/>
    <n v="71.187444477346759"/>
    <n v="2404"/>
    <n v="3377"/>
    <n v="0.71187444477346762"/>
    <n v="872.75982967130585"/>
    <n v="7.9724480202362784"/>
    <n v="1.3287413367060463"/>
    <m/>
    <n v="2867.4378296713057"/>
    <n v="286.74378296713058"/>
    <n v="0.14375442200050864"/>
    <n v="2.619334468787732"/>
    <n v="0.43655574479795534"/>
    <n v="18.220896667641039"/>
    <n v="3.0368161112735068"/>
    <n v="16.852393716145535"/>
    <n v="19.471728184933266"/>
    <n v="35.073290383786571"/>
    <n v="2.8087322860242554"/>
    <n v="3.245288030822211"/>
    <n v="5.8455483972977618"/>
    <n v="4"/>
    <n v="1.6852393716145535"/>
    <n v="184.48652448938839"/>
    <n v="9.2489376475495488E-2"/>
    <m/>
    <n v="956.46900000000005"/>
    <m/>
    <n v="504.45"/>
    <n v="147.5"/>
    <n v="3.42"/>
    <n v="614"/>
    <n v="158.656330749354"/>
    <n v="3.87"/>
    <n v="620.91999999999996"/>
    <n v="172"/>
    <n v="3.61"/>
    <n v="655.03000000000009"/>
    <n v="177.84366925064603"/>
    <n v="3.6831786183899862"/>
    <n v="2394.4"/>
    <n v="656"/>
    <n v="3.65"/>
    <n v="4.3841300000000007"/>
    <n v="4.1000000000000002E-2"/>
    <n v="106.93"/>
    <n v="2.3834400000000002"/>
    <n v="2.4E-2"/>
    <n v="99.31"/>
    <n v="3.9486399999999997"/>
    <n v="3.6999999999999998E-2"/>
    <n v="106.72"/>
    <n v="3.5419499999999999"/>
    <n v="3.6000000000000011E-2"/>
    <n v="98.387499999999974"/>
    <n v="14.25816"/>
    <n v="0.13800000000000001"/>
    <n v="103.32"/>
    <n v="0.95940000000000003"/>
    <n v="0.02"/>
    <n v="47.97"/>
    <n v="0.30104000000000003"/>
    <n v="8.0000000000000002E-3"/>
    <n v="37.630000000000003"/>
    <n v="0.50459999999999994"/>
    <n v="1.2E-2"/>
    <n v="42.05"/>
    <n v="0.41646000000000027"/>
    <n v="1.0000000000000005E-2"/>
    <n v="41.646000000000008"/>
    <n v="2.1815000000000002"/>
    <n v="0.05"/>
    <n v="43.63"/>
    <n v="97.98"/>
    <n v="3.73"/>
    <n v="9.94"/>
    <n v="3.49"/>
    <n v="4.01"/>
    <x v="2"/>
    <n v="3.85"/>
    <n v="9.77"/>
    <n v="9.39"/>
    <n v="10.01"/>
    <n v="10.53"/>
    <n v="94.33"/>
    <n v="94.05"/>
    <n v="105.83"/>
    <n v="97.44"/>
  </r>
  <r>
    <x v="15"/>
    <s v="SWN"/>
    <x v="7"/>
    <n v="765"/>
    <n v="0.23499999999999999"/>
    <n v="0.26100000000000001"/>
    <n v="127.996"/>
    <n v="767.976"/>
    <n v="0"/>
    <n v="0"/>
    <n v="0"/>
    <n v="0"/>
    <n v="0"/>
    <n v="127.996"/>
    <n v="767.976"/>
    <n v="1"/>
    <n v="0.9961248789024657"/>
    <n v="1.8359948748398387E-3"/>
    <n v="2.0391262226944593E-3"/>
    <n v="30.17"/>
    <n v="80.066999999999993"/>
    <n v="4134"/>
    <n v="4795.4219999999996"/>
    <n v="3968.4219999999996"/>
    <n v="799.23699999999997"/>
    <n v="661.4036666666666"/>
    <n v="4.7985755743651746"/>
    <m/>
    <n v="542"/>
    <n v="1691"/>
    <n v="1367"/>
    <n v="0"/>
    <n v="3600"/>
    <n v="-1.4E-2"/>
    <n v="0.25"/>
    <n v="37.246000000000002"/>
    <n v="0"/>
    <n v="37.481999999999999"/>
    <n v="66"/>
    <n v="48"/>
    <n v="118.816"/>
    <n v="0"/>
    <n v="232.816"/>
    <n v="5221.7879999999996"/>
    <n v="870.298"/>
    <n v="3933"/>
    <n v="1455"/>
    <n v="229"/>
    <n v="1600"/>
    <n v="7217"/>
    <n v="13058.027"/>
    <n v="1528.0753333333332"/>
    <n v="9168.4519999999993"/>
    <n v="8.5454078834682239"/>
    <n v="1.4242346472447041"/>
    <s v="The significant increase in the Company’s reserves in 2014 was primarily due to the acquisition of approximately 413,000 net acres in Southwest Appalachia, successful development drilling programs in the Fayetteville Shale and Northeast Appalachia and upward performance revisions in Northeast Appalachia."/>
    <n v="698.85816"/>
    <n v="0"/>
    <n v="184.31423999999998"/>
    <n v="184.31423999999998"/>
    <n v="28"/>
    <n v="0"/>
    <n v="19.786666666666665"/>
    <n v="0"/>
    <n v="84.477360000000004"/>
    <n v="84.477360000000004"/>
    <n v="101"/>
    <n v="0"/>
    <n v="71.373333333333335"/>
    <n v="2862"/>
    <n v="4050"/>
    <n v="0.70666666666666667"/>
    <n v="1058.8097600000001"/>
    <n v="8.2722097565548935"/>
    <n v="1.3787016260924823"/>
    <m/>
    <n v="8275.8097600000001"/>
    <n v="827.58097600000008"/>
    <n v="0.1146710511292781"/>
    <n v="6.4656784274508583"/>
    <n v="1.0776130712418097"/>
    <n v="56.384574517953688"/>
    <n v="9.397429086325614"/>
    <n v="16.817617640023116"/>
    <n v="23.283296067473973"/>
    <n v="73.20219215797681"/>
    <n v="2.8029362733371865"/>
    <n v="3.8805493445789963"/>
    <n v="12.200365359662801"/>
    <n v="4"/>
    <n v="1.6817617640023115"/>
    <n v="215.25877874523985"/>
    <n v="2.9826628619265601E-2"/>
    <m/>
    <n v="4646"/>
    <m/>
    <n v="761.74200000000008"/>
    <n v="181.8"/>
    <n v="4.1900000000000004"/>
    <n v="717"/>
    <n v="190.18567639257293"/>
    <n v="3.77"/>
    <n v="672.28000000000009"/>
    <n v="196"/>
    <n v="3.43"/>
    <n v="698.49799999999971"/>
    <n v="198.01432360742712"/>
    <n v="3.5275124913933271"/>
    <n v="2849.52"/>
    <n v="766"/>
    <n v="3.72"/>
    <n v="1.6068800000000001"/>
    <n v="1.6E-2"/>
    <n v="100.43"/>
    <n v="4.8536899999999994"/>
    <n v="4.7E-2"/>
    <n v="103.27"/>
    <n v="4.9832099999999997"/>
    <n v="5.0999999999999997E-2"/>
    <n v="97.71"/>
    <n v="7.3350699999999982"/>
    <n v="0.12100000000000001"/>
    <n v="60.620413223140474"/>
    <n v="18.778849999999998"/>
    <n v="0.23499999999999999"/>
    <n v="79.91"/>
    <n v="0.45143999999999995"/>
    <n v="8.9999999999999993E-3"/>
    <n v="50.16"/>
    <n v="0.26446000000000003"/>
    <n v="7.0000000000000001E-3"/>
    <n v="37.78"/>
    <n v="0.39127000000000001"/>
    <n v="1.0999999999999999E-2"/>
    <n v="35.57"/>
    <n v="2.5241500000000001"/>
    <n v="0.20399999999999999"/>
    <n v="12.373284313725492"/>
    <n v="3.6313200000000001"/>
    <n v="0.23100000000000001"/>
    <n v="15.72"/>
    <n v="93.17"/>
    <n v="4.37"/>
    <n v="9.56"/>
    <n v="5.21"/>
    <n v="4.6100000000000003"/>
    <x v="3"/>
    <n v="3.8"/>
    <n v="11.19"/>
    <n v="10.15"/>
    <n v="9.83"/>
    <n v="7.41"/>
    <n v="98.68"/>
    <n v="103.35"/>
    <n v="97.87"/>
    <n v="73.209999999999994"/>
  </r>
  <r>
    <x v="15"/>
    <s v="SWN"/>
    <x v="8"/>
    <n v="899"/>
    <n v="2.2650000000000001"/>
    <n v="10.702"/>
    <n v="162.80033333333333"/>
    <n v="976.80200000000002"/>
    <n v="0"/>
    <n v="0"/>
    <n v="0"/>
    <n v="0"/>
    <n v="0"/>
    <n v="162.80033333333333"/>
    <n v="976.80200000000002"/>
    <n v="1"/>
    <n v="0.92035028593307544"/>
    <n v="1.3912747926396548E-2"/>
    <n v="6.5736966140527972E-2"/>
    <n v="0"/>
    <n v="0"/>
    <n v="443"/>
    <n v="443"/>
    <n v="-4352.4219999999996"/>
    <n v="73.833333333333329"/>
    <n v="-725.4036666666666"/>
    <n v="-0.90762022612399906"/>
    <m/>
    <n v="-3458"/>
    <n v="546"/>
    <n v="97"/>
    <n v="0"/>
    <n v="-2815"/>
    <n v="-28.393999999999998"/>
    <n v="1.367"/>
    <n v="0.52500000000000002"/>
    <n v="0"/>
    <n v="-26.501999999999999"/>
    <n v="-75.664000000000001"/>
    <n v="6.274"/>
    <n v="2.34"/>
    <n v="0"/>
    <n v="-67.05"/>
    <n v="-3376.3119999999999"/>
    <n v="-562.71866666666665"/>
    <n v="692"/>
    <n v="81"/>
    <n v="560"/>
    <n v="1417"/>
    <n v="2750"/>
    <n v="13866.521000000001"/>
    <n v="715.27166666666653"/>
    <n v="4291.6299999999992"/>
    <n v="19.386369747625032"/>
    <n v="3.2310616246041723"/>
    <m/>
    <n v="898.65784000000008"/>
    <n v="0"/>
    <n v="205.12842000000001"/>
    <n v="205.12842000000001"/>
    <n v="-6"/>
    <n v="0"/>
    <n v="-3.9987146529562985"/>
    <n v="0"/>
    <n v="97.680200000000013"/>
    <n v="97.680200000000013"/>
    <n v="200"/>
    <n v="0"/>
    <n v="133.29048843187661"/>
    <n v="2074"/>
    <n v="3112"/>
    <n v="0.66645244215938304"/>
    <n v="1330.7582337789204"/>
    <n v="8.1741738885398707"/>
    <n v="1.362362314756645"/>
    <m/>
    <n v="4080.7582337789204"/>
    <n v="408.07582337789205"/>
    <n v="0.14839120850105164"/>
    <n v="2.5066031194319343"/>
    <n v="0.41776718657198902"/>
    <n v="16.891857305779475"/>
    <n v="2.8153095509632453"/>
    <n v="27.560543636164901"/>
    <n v="30.067146755596834"/>
    <n v="44.452400941944376"/>
    <n v="4.5934239393608172"/>
    <n v="5.0111911259328066"/>
    <n v="7.408733490324062"/>
    <n v="4"/>
    <n v="2.75605436361649"/>
    <n v="448.68656908155242"/>
    <n v="0.16315875239329178"/>
    <m/>
    <n v="3727"/>
    <m/>
    <n v="654.81000000000006"/>
    <n v="219"/>
    <n v="2.99"/>
    <n v="717"/>
    <n v="226"/>
    <n v="1.76"/>
    <n v="403.56"/>
    <n v="228"/>
    <n v="1.77"/>
    <n v="355.26000000000016"/>
    <n v="226"/>
    <n v="1.571946902654868"/>
    <n v="2130.63"/>
    <n v="899"/>
    <n v="2.37"/>
    <n v="16.840499999999999"/>
    <n v="0.54500000000000004"/>
    <n v="30.9"/>
    <n v="24.078320000000001"/>
    <n v="0.58899999999999997"/>
    <n v="40.880000000000003"/>
    <n v="18.827000000000002"/>
    <n v="0.56200000000000006"/>
    <n v="33.5"/>
    <n v="15.565429999999999"/>
    <n v="0.56900000000000006"/>
    <n v="27.355764499121261"/>
    <n v="75.311250000000001"/>
    <n v="2.2650000000000001"/>
    <n v="33.25"/>
    <n v="18.278099999999998"/>
    <n v="1.766"/>
    <n v="10.35"/>
    <n v="14.851979999999998"/>
    <n v="2.5739999999999998"/>
    <n v="5.77"/>
    <n v="14.320479999999998"/>
    <n v="3.0339999999999998"/>
    <n v="4.72"/>
    <n v="25.32304000000001"/>
    <n v="3.3280000000000003"/>
    <n v="7.6090865384615407"/>
    <n v="72.773600000000002"/>
    <n v="10.702"/>
    <n v="6.8"/>
    <n v="48.66"/>
    <n v="2.62"/>
    <n v="4.97"/>
    <n v="2.9"/>
    <n v="2.75"/>
    <x v="4"/>
    <n v="2.12"/>
    <n v="5.43"/>
    <n v="5.2"/>
    <n v="4.68"/>
    <n v="4.5999999999999996"/>
    <n v="48.49"/>
    <n v="57.85"/>
    <n v="46.64"/>
    <n v="41.94"/>
  </r>
  <r>
    <x v="15"/>
    <s v="SWN"/>
    <x v="9"/>
    <n v="788"/>
    <n v="2.1920000000000002"/>
    <n v="12.372"/>
    <n v="145.89733333333334"/>
    <n v="875.38400000000001"/>
    <n v="0"/>
    <n v="0"/>
    <n v="0"/>
    <n v="0"/>
    <n v="0"/>
    <n v="145.89733333333334"/>
    <n v="875.38400000000001"/>
    <n v="1"/>
    <n v="0.90017637973734954"/>
    <n v="1.5024263637443682E-2"/>
    <n v="8.4799356625206768E-2"/>
    <n v="0"/>
    <n v="0"/>
    <n v="77"/>
    <n v="77"/>
    <n v="-366"/>
    <n v="12.833333333333334"/>
    <n v="-60.999999999999993"/>
    <n v="-0.82618510158013536"/>
    <m/>
    <n v="-446"/>
    <n v="198"/>
    <n v="0"/>
    <n v="0"/>
    <n v="-248"/>
    <n v="1.5640000000000001"/>
    <n v="2.4169999999999998"/>
    <n v="0"/>
    <n v="0"/>
    <n v="3.9809999999999999"/>
    <n v="13.794"/>
    <n v="11.576000000000001"/>
    <n v="0"/>
    <n v="0"/>
    <n v="25.37"/>
    <n v="-71.894000000000005"/>
    <n v="-11.982333333333333"/>
    <n v="171"/>
    <n v="0"/>
    <n v="17"/>
    <n v="433"/>
    <n v="621"/>
    <n v="10588"/>
    <n v="295.59700000000004"/>
    <n v="1773.5819999999997"/>
    <n v="35.819037405657021"/>
    <n v="5.9698395676095055"/>
    <m/>
    <n v="761.58407999999997"/>
    <n v="0"/>
    <n v="192.58448000000001"/>
    <n v="192.58448000000001"/>
    <n v="-15"/>
    <n v="0"/>
    <n v="-8.7763975155279503"/>
    <n v="0"/>
    <n v="87.53840000000001"/>
    <n v="87.53840000000001"/>
    <n v="226"/>
    <n v="0"/>
    <n v="132.23105590062113"/>
    <n v="1413"/>
    <n v="2415"/>
    <n v="0.58509316770186337"/>
    <n v="1165.1616183850933"/>
    <n v="7.9861748790365823"/>
    <n v="1.331029146506097"/>
    <m/>
    <n v="1786.1616183850933"/>
    <n v="178.61616183850936"/>
    <n v="0.28762666962722921"/>
    <n v="1.2242592633987555"/>
    <n v="0.20404321056645924"/>
    <n v="4.2564177549509701"/>
    <n v="0.70940295915849505"/>
    <n v="43.805212284693603"/>
    <n v="45.02947154809236"/>
    <n v="48.061630039644569"/>
    <n v="7.3008687141156026"/>
    <n v="7.5049119246820615"/>
    <n v="8.0102716732740973"/>
    <n v="4"/>
    <n v="4.3805212284693607"/>
    <n v="639.10636584373719"/>
    <n v="1.0291567887982886"/>
    <m/>
    <n v="2105"/>
    <m/>
    <n v="315.24"/>
    <n v="213"/>
    <n v="1.48"/>
    <n v="245.63"/>
    <n v="203"/>
    <n v="1.21"/>
    <n v="336.42"/>
    <n v="189"/>
    <n v="1.78"/>
    <n v="395.02999999999992"/>
    <n v="183"/>
    <n v="2.1586338797814202"/>
    <n v="1292.32"/>
    <n v="788"/>
    <n v="1.64"/>
    <n v="11.320549999999999"/>
    <n v="0.60699999999999998"/>
    <n v="18.649999999999999"/>
    <n v="19.021560000000001"/>
    <n v="0.58599999999999997"/>
    <n v="32.46"/>
    <n v="18.979759999999999"/>
    <n v="0.53600000000000003"/>
    <n v="35.409999999999997"/>
    <n v="19.068530000000003"/>
    <n v="0.4630000000000003"/>
    <n v="41.184730021598249"/>
    <n v="68.3904"/>
    <n v="2.1920000000000002"/>
    <n v="31.2"/>
    <n v="16.812480000000001"/>
    <n v="3.3759999999999999"/>
    <n v="4.9800000000000004"/>
    <n v="20.101760000000002"/>
    <n v="3.1360000000000001"/>
    <n v="6.41"/>
    <n v="21.59872"/>
    <n v="3.0680000000000001"/>
    <n v="7.04"/>
    <n v="33.782159999999998"/>
    <n v="2.7920000000000003"/>
    <n v="12.099627507163321"/>
    <n v="92.295119999999997"/>
    <n v="12.372"/>
    <n v="7.46"/>
    <n v="43.2"/>
    <n v="2.52"/>
    <n v="5.04"/>
    <n v="1.99"/>
    <n v="2.15"/>
    <x v="1"/>
    <n v="3.04"/>
    <n v="4.0199999999999996"/>
    <n v="5"/>
    <n v="5.04"/>
    <n v="6.05"/>
    <n v="33.35"/>
    <n v="45.46"/>
    <n v="44.85"/>
    <n v="49.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6">
  <location ref="B182:D191"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dataField="1"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dataField="1"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2">
    <i>
      <x/>
    </i>
    <i i="1">
      <x v="1"/>
    </i>
  </colItems>
  <dataFields count="2">
    <dataField name="US Production" fld="6" baseField="0" baseItem="0"/>
    <dataField name="US Additions" fld="44" baseField="0" baseItem="0"/>
  </dataFields>
  <formats count="1">
    <format dxfId="34">
      <pivotArea outline="0" collapsedLevelsAreSubtotals="1" fieldPosition="0"/>
    </format>
  </formats>
  <chartFormats count="4">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 chart="10" format="4" series="1">
      <pivotArea type="data" outline="0" fieldPosition="0">
        <references count="1">
          <reference field="4294967294" count="1" selected="0">
            <x v="0"/>
          </reference>
        </references>
      </pivotArea>
    </chartFormat>
    <chartFormat chart="10"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Cost Stack with Return Equal to FD Capex ($/BCFE)"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
  <location ref="B50:E59"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3">
    <i>
      <x/>
    </i>
    <i i="1">
      <x v="1"/>
    </i>
    <i i="2">
      <x v="2"/>
    </i>
  </colItems>
  <dataFields count="3">
    <dataField name="3-Year MA FD Costs" fld="190" baseField="0" baseItem="0"/>
    <dataField name="Cash Costs" fld="184" baseField="0" baseItem="0" numFmtId="165"/>
    <dataField name="FD Return" fld="163" baseField="0" baseItem="0"/>
  </dataFields>
  <formats count="1">
    <format dxfId="43">
      <pivotArea outline="0" collapsedLevelsAreSubtotals="1" fieldPosition="0"/>
    </format>
  </formats>
  <chartFormats count="3">
    <chartFormat chart="1" format="12" series="1">
      <pivotArea type="data" outline="0" fieldPosition="0">
        <references count="1">
          <reference field="4294967294" count="1" selected="0">
            <x v="0"/>
          </reference>
        </references>
      </pivotArea>
    </chartFormat>
    <chartFormat chart="1" format="13" series="1">
      <pivotArea type="data" outline="0" fieldPosition="0">
        <references count="1">
          <reference field="4294967294" count="1" selected="0">
            <x v="1"/>
          </reference>
        </references>
      </pivotArea>
    </chartFormat>
    <chartFormat chart="1" format="14"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7"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7">
  <location ref="B74:G83"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dataField="1" numFmtId="2" showAll="0"/>
    <pivotField dataField="1" numFmtId="2" showAll="0"/>
    <pivotField dataField="1" numFmtId="2" showAll="0"/>
    <pivotField dataField="1" numFmtId="2"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5">
    <i>
      <x/>
    </i>
    <i i="1">
      <x v="1"/>
    </i>
    <i i="2">
      <x v="2"/>
    </i>
    <i i="3">
      <x v="3"/>
    </i>
    <i i="4">
      <x v="4"/>
    </i>
  </colItems>
  <dataFields count="5">
    <dataField name="US Unproved Property Acquisitions" fld="45" baseField="0" baseItem="0"/>
    <dataField name="US Proved Property Acquisitions" fld="46" baseField="0" baseItem="0"/>
    <dataField name="US Exploration Costs" fld="47" baseField="0" baseItem="0"/>
    <dataField name="US Development Costs" fld="48" baseField="0" baseItem="0"/>
    <dataField name="Sum of US Total Capital ($MM)" fld="49" baseField="0" baseItem="0"/>
  </dataFields>
  <formats count="1">
    <format dxfId="44">
      <pivotArea outline="0" collapsedLevelsAreSubtotals="1" fieldPosition="0"/>
    </format>
  </formats>
  <chartFormats count="5">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1"/>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3"/>
          </reference>
        </references>
      </pivotArea>
    </chartFormat>
    <chartFormat chart="1" format="9"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0">
  <location ref="B170:H179"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6">
    <i>
      <x/>
    </i>
    <i i="1">
      <x v="1"/>
    </i>
    <i i="2">
      <x v="2"/>
    </i>
    <i i="3">
      <x v="3"/>
    </i>
    <i i="4">
      <x v="4"/>
    </i>
    <i i="5">
      <x v="5"/>
    </i>
  </colItems>
  <dataFields count="6">
    <dataField name="Production Costs " fld="56" baseField="2" baseItem="2"/>
    <dataField name="G&amp;A and Marketing " fld="59" baseField="2" baseItem="2"/>
    <dataField name="Cash Income Taxes " fld="62" baseField="2" baseItem="2"/>
    <dataField name="Non-Income Taxes " fld="65" baseField="2" baseItem="2"/>
    <dataField name=" Total Interest Expense " fld="68" baseField="2" baseItem="2"/>
    <dataField name="Sum of US Cash Costs ($MM)" fld="72" baseField="2" baseItem="2"/>
  </dataFields>
  <formats count="1">
    <format dxfId="45">
      <pivotArea outline="0" collapsedLevelsAreSubtotals="1" fieldPosition="0"/>
    </format>
  </formats>
  <chartFormats count="6">
    <chartFormat chart="9" format="5" series="1">
      <pivotArea type="data" outline="0" fieldPosition="0">
        <references count="1">
          <reference field="4294967294" count="1" selected="0">
            <x v="0"/>
          </reference>
        </references>
      </pivotArea>
    </chartFormat>
    <chartFormat chart="9" format="6" series="1">
      <pivotArea type="data" outline="0" fieldPosition="0">
        <references count="1">
          <reference field="4294967294" count="1" selected="0">
            <x v="1"/>
          </reference>
        </references>
      </pivotArea>
    </chartFormat>
    <chartFormat chart="9" format="7" series="1">
      <pivotArea type="data" outline="0" fieldPosition="0">
        <references count="1">
          <reference field="4294967294" count="1" selected="0">
            <x v="2"/>
          </reference>
        </references>
      </pivotArea>
    </chartFormat>
    <chartFormat chart="9" format="8" series="1">
      <pivotArea type="data" outline="0" fieldPosition="0">
        <references count="1">
          <reference field="4294967294" count="1" selected="0">
            <x v="3"/>
          </reference>
        </references>
      </pivotArea>
    </chartFormat>
    <chartFormat chart="9" format="9" series="1">
      <pivotArea type="data" outline="0" fieldPosition="0">
        <references count="1">
          <reference field="4294967294" count="1" selected="0">
            <x v="4"/>
          </reference>
        </references>
      </pivotArea>
    </chartFormat>
    <chartFormat chart="9"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Cost Stack with 10% Return ($/BCFE)"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7">
  <location ref="B38:E47"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3">
    <i>
      <x/>
    </i>
    <i i="1">
      <x v="1"/>
    </i>
    <i i="2">
      <x v="2"/>
    </i>
  </colItems>
  <dataFields count="3">
    <dataField name="3-Year MA FD Costs" fld="190" baseField="0" baseItem="0"/>
    <dataField name="Cash Costs" fld="184" baseField="0" baseItem="0" numFmtId="165"/>
    <dataField name="10% Return " fld="191" baseField="0" baseItem="0" numFmtId="165"/>
  </dataFields>
  <formats count="1">
    <format dxfId="46">
      <pivotArea outline="0" collapsedLevelsAreSubtotals="1" fieldPosition="0"/>
    </format>
  </formats>
  <chartFormats count="3">
    <chartFormat chart="1" format="9" series="1">
      <pivotArea type="data" outline="0" fieldPosition="0">
        <references count="1">
          <reference field="4294967294" count="1" selected="0">
            <x v="0"/>
          </reference>
        </references>
      </pivotArea>
    </chartFormat>
    <chartFormat chart="1" format="10" series="1">
      <pivotArea type="data" outline="0" fieldPosition="0">
        <references count="1">
          <reference field="4294967294" count="1" selected="0">
            <x v="1"/>
          </reference>
        </references>
      </pivotArea>
    </chartFormat>
    <chartFormat chart="1" format="1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2">
  <location ref="B146:E155"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dataField="1" numFmtId="3" showAll="0"/>
    <pivotField dataField="1"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3">
    <i>
      <x/>
    </i>
    <i i="1">
      <x v="1"/>
    </i>
    <i i="2">
      <x v="2"/>
    </i>
  </colItems>
  <dataFields count="3">
    <dataField name="Gas PUDs" fld="185" baseField="0" baseItem="0"/>
    <dataField name="Oil PUDs" fld="19" baseField="0" baseItem="0"/>
    <dataField name="NGL PUDs" fld="20" baseField="0" baseItem="0"/>
  </dataFields>
  <formats count="1">
    <format dxfId="47">
      <pivotArea outline="0" collapsedLevelsAreSubtotals="1" fieldPosition="0"/>
    </format>
  </formats>
  <chartFormats count="3">
    <chartFormat chart="15" format="3" series="1">
      <pivotArea type="data" outline="0" fieldPosition="0">
        <references count="1">
          <reference field="4294967294" count="1" selected="0">
            <x v="1"/>
          </reference>
        </references>
      </pivotArea>
    </chartFormat>
    <chartFormat chart="15" format="4" series="1">
      <pivotArea type="data" outline="0" fieldPosition="0">
        <references count="1">
          <reference field="4294967294" count="1" selected="0">
            <x v="2"/>
          </reference>
        </references>
      </pivotArea>
    </chartFormat>
    <chartFormat chart="15"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18"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5">
  <location ref="B86:F95"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dataField="1" numFmtId="1" showAll="0"/>
    <pivotField numFmtId="1" showAll="0"/>
    <pivotField numFmtId="1" showAll="0"/>
    <pivotField numFmtId="1" showAll="0"/>
    <pivotField numFmtId="1" showAll="0"/>
    <pivotField dataField="1" numFmtId="1" showAll="0"/>
    <pivotField numFmtId="1" showAll="0"/>
    <pivotField numFmtId="1" showAll="0"/>
    <pivotField numFmtId="2" showAll="0"/>
    <pivotField numFmtId="2" showAll="0"/>
    <pivotField numFmtId="2" showAll="0"/>
    <pivotField numFmtId="2" showAll="0"/>
    <pivotField dataField="1"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4">
    <i>
      <x/>
    </i>
    <i i="1">
      <x v="1"/>
    </i>
    <i i="2">
      <x v="2"/>
    </i>
    <i i="3">
      <x v="3"/>
    </i>
  </colItems>
  <dataFields count="4">
    <dataField name="US Natural Gas Additions" fld="194" baseField="0" baseItem="0" numFmtId="1"/>
    <dataField name="US Oil, Condensate Additions" fld="37" baseField="0" baseItem="0"/>
    <dataField name="US NGL Additions" fld="42" baseField="0" baseItem="0"/>
    <dataField name="US Capex" fld="49" baseField="0" baseItem="0"/>
  </dataFields>
  <formats count="1">
    <format dxfId="48">
      <pivotArea outline="0" collapsedLevelsAreSubtotals="1" fieldPosition="0"/>
    </format>
  </formats>
  <chartFormats count="10">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 chart="1" format="6" series="1">
      <pivotArea type="data" outline="0" fieldPosition="0">
        <references count="1">
          <reference field="4294967294" count="1" selected="0">
            <x v="0"/>
          </reference>
        </references>
      </pivotArea>
    </chartFormat>
    <chartFormat chart="12" format="7" series="1">
      <pivotArea type="data" outline="0" fieldPosition="0">
        <references count="1">
          <reference field="4294967294" count="1" selected="0">
            <x v="0"/>
          </reference>
        </references>
      </pivotArea>
    </chartFormat>
    <chartFormat chart="12" format="8" series="1">
      <pivotArea type="data" outline="0" fieldPosition="0">
        <references count="1">
          <reference field="4294967294" count="1" selected="0">
            <x v="1"/>
          </reference>
        </references>
      </pivotArea>
    </chartFormat>
    <chartFormat chart="12" format="9" series="1">
      <pivotArea type="data" outline="0" fieldPosition="0">
        <references count="1">
          <reference field="4294967294" count="1" selected="0">
            <x v="2"/>
          </reference>
        </references>
      </pivotArea>
    </chartFormat>
    <chartFormat chart="25" format="3" series="1">
      <pivotArea type="data" outline="0" fieldPosition="0">
        <references count="1">
          <reference field="4294967294" count="1" selected="0">
            <x v="0"/>
          </reference>
        </references>
      </pivotArea>
    </chartFormat>
    <chartFormat chart="25" format="4" series="1">
      <pivotArea type="data" outline="0" fieldPosition="0">
        <references count="1">
          <reference field="4294967294" count="1" selected="0">
            <x v="1"/>
          </reference>
        </references>
      </pivotArea>
    </chartFormat>
    <chartFormat chart="25" format="5" series="1">
      <pivotArea type="data" outline="0" fieldPosition="0">
        <references count="1">
          <reference field="4294967294" count="1" selected="0">
            <x v="2"/>
          </reference>
        </references>
      </pivotArea>
    </chartFormat>
    <chartFormat chart="25" format="6"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3">
  <location ref="B134:D143"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dataField="1"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2">
    <i>
      <x/>
    </i>
    <i i="1">
      <x v="1"/>
    </i>
  </colItems>
  <dataFields count="2">
    <dataField name="Total Production" fld="6" baseField="0" baseItem="0"/>
    <dataField name="Gas Production vs. Total" fld="183" baseField="0" baseItem="0" numFmtId="165"/>
  </dataFields>
  <formats count="3">
    <format dxfId="51">
      <pivotArea outline="0" collapsedLevelsAreSubtotals="1" fieldPosition="0"/>
    </format>
    <format dxfId="50">
      <pivotArea collapsedLevelsAreSubtotals="1" fieldPosition="0">
        <references count="1">
          <reference field="2" count="0"/>
        </references>
      </pivotArea>
    </format>
    <format dxfId="49">
      <pivotArea collapsedLevelsAreSubtotals="1" fieldPosition="0">
        <references count="2">
          <reference field="4294967294" count="1" selected="0">
            <x v="0"/>
          </reference>
          <reference field="2" count="0"/>
        </references>
      </pivotArea>
    </format>
  </formats>
  <chartFormats count="2">
    <chartFormat chart="9" format="8" series="1">
      <pivotArea type="data" outline="0" fieldPosition="0">
        <references count="1">
          <reference field="4294967294" count="1" selected="0">
            <x v="1"/>
          </reference>
        </references>
      </pivotArea>
    </chartFormat>
    <chartFormat chart="9"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S9" firstHeaderRow="0" firstDataRow="1" firstDataCol="1" rowPageCount="1" colPageCount="1"/>
  <pivotFields count="207">
    <pivotField axis="axisPage" multipleItemSelectionAllowed="1" showAll="0">
      <items count="20">
        <item h="1" x="0"/>
        <item x="1"/>
        <item x="2"/>
        <item x="3"/>
        <item h="1" m="1" x="17"/>
        <item h="1" x="4"/>
        <item x="5"/>
        <item h="1" x="6"/>
        <item x="7"/>
        <item h="1" x="8"/>
        <item h="1" x="9"/>
        <item h="1" m="1" x="16"/>
        <item x="10"/>
        <item x="11"/>
        <item h="1" x="12"/>
        <item h="1" x="13"/>
        <item x="14"/>
        <item x="15"/>
        <item h="1" m="1" x="18"/>
        <item t="default"/>
      </items>
    </pivotField>
    <pivotField showAll="0"/>
    <pivotField axis="axisRow" showAll="0">
      <items count="11">
        <item h="1" x="0"/>
        <item h="1" x="1"/>
        <item h="1" x="2"/>
        <item h="1" x="3"/>
        <item h="1"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6">
    <i>
      <x v="5"/>
    </i>
    <i>
      <x v="6"/>
    </i>
    <i>
      <x v="7"/>
    </i>
    <i>
      <x v="8"/>
    </i>
    <i>
      <x v="9"/>
    </i>
    <i t="grand">
      <x/>
    </i>
  </rowItems>
  <colFields count="1">
    <field x="-2"/>
  </colFields>
  <colItems count="18">
    <i>
      <x/>
    </i>
    <i i="1">
      <x v="1"/>
    </i>
    <i i="2">
      <x v="2"/>
    </i>
    <i i="3">
      <x v="3"/>
    </i>
    <i i="4">
      <x v="4"/>
    </i>
    <i i="5">
      <x v="5"/>
    </i>
    <i i="6">
      <x v="6"/>
    </i>
    <i i="7">
      <x v="7"/>
    </i>
    <i i="8">
      <x v="8"/>
    </i>
    <i i="9">
      <x v="9"/>
    </i>
    <i i="10">
      <x v="10"/>
    </i>
    <i i="11">
      <x v="11"/>
    </i>
    <i i="12">
      <x v="12"/>
    </i>
    <i i="13">
      <x v="13"/>
    </i>
    <i i="14">
      <x v="14"/>
    </i>
    <i i="15">
      <x v="15"/>
    </i>
    <i i="16">
      <x v="16"/>
    </i>
    <i i="17">
      <x v="17"/>
    </i>
  </colItems>
  <pageFields count="1">
    <pageField fld="0" hier="-1"/>
  </pageFields>
  <dataFields count="18">
    <dataField name="Sum of Q1 Gas Price" fld="164" baseField="0" baseItem="0"/>
    <dataField name="Sum of Q2 Gas Price" fld="165" baseField="0" baseItem="0"/>
    <dataField name="Sum of Q3 Gas Price" fld="166" baseField="0" baseItem="0"/>
    <dataField name="Sum of Q4 Gas Price" fld="167" baseField="0" baseItem="0"/>
    <dataField name="Sum of Q1 Oil Price" fld="169" baseField="0" baseItem="0"/>
    <dataField name="Sum of Q2 Oil Price" fld="170" baseField="0" baseItem="0"/>
    <dataField name="Sum of Q3 Oil Price" fld="171" baseField="0" baseItem="0"/>
    <dataField name="Sum of Q4 Oil Price" fld="172" baseField="0" baseItem="0"/>
    <dataField name="Sum of Q1 NGL Price" fld="174" baseField="0" baseItem="0"/>
    <dataField name="Sum of Q2 NGL Price" fld="175" baseField="0" baseItem="0"/>
    <dataField name="Sum of Q3 NGL Price" fld="176" baseField="0" baseItem="0"/>
    <dataField name="Sum of Q4 NGL Price" fld="177" baseField="0" baseItem="0"/>
    <dataField name="Sum of Average Realized Gas Price" fld="199" baseField="0" baseItem="0"/>
    <dataField name="Average of HH Annual" fld="142" subtotal="average" baseField="2" baseItem="5"/>
    <dataField name="Sum of Average Realized Oil Price" fld="198" baseField="0" baseItem="0"/>
    <dataField name="Average of WTI Annual" fld="141" subtotal="average" baseField="2" baseItem="9"/>
    <dataField name="Sum of Average Realized NGL Prices" fld="200" baseField="0" baseItem="0"/>
    <dataField name="Average of NGL Annual" fld="143" subtotal="average" baseField="2" baseItem="9"/>
  </dataFields>
  <formats count="1">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17">
  <location ref="A1:G7" firstHeaderRow="0" firstDataRow="1" firstDataCol="1"/>
  <pivotFields count="104">
    <pivotField showAll="0"/>
    <pivotField showAll="0"/>
    <pivotField axis="axisRow" showAll="0">
      <items count="11">
        <item h="1" x="0"/>
        <item h="1" x="1"/>
        <item x="2"/>
        <item x="3"/>
        <item x="4"/>
        <item x="5"/>
        <item x="6"/>
        <item x="7"/>
        <item h="1" x="8"/>
        <item h="1" x="9"/>
        <item t="default"/>
      </items>
    </pivotField>
    <pivotField showAll="0"/>
    <pivotField showAll="0"/>
    <pivotField showAll="0"/>
    <pivotField dataField="1" numFmtId="165" showAll="0"/>
    <pivotField numFmtId="165" showAll="0"/>
    <pivotField numFmtId="165" showAll="0"/>
    <pivotField numFmtId="165" showAll="0"/>
    <pivotField showAll="0"/>
    <pivotField numFmtId="165" showAll="0"/>
    <pivotField numFmtId="165" showAll="0"/>
    <pivotField numFmtId="165" showAll="0"/>
    <pivotField numFmtId="165" showAll="0"/>
    <pivotField showAll="0"/>
    <pivotField showAll="0"/>
    <pivotField showAll="0"/>
    <pivotField showAll="0"/>
    <pivotField showAll="0" defaultSubtotal="0"/>
    <pivotField showAll="0" defaultSubtotal="0"/>
    <pivotField showAll="0" defaultSubtotal="0"/>
    <pivotField showAll="0"/>
    <pivotField showAll="0"/>
    <pivotField showAll="0"/>
    <pivotField showAll="0"/>
    <pivotField showAll="0" defaultSubtota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showAll="0"/>
    <pivotField showAll="0"/>
    <pivotField showAll="0"/>
    <pivotField showAll="0"/>
    <pivotField dataField="1" numFmtId="44" showAll="0"/>
    <pivotField showAll="0"/>
    <pivotField showAll="0"/>
    <pivotField showAll="0" defaultSubtota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dataField="1" showAll="0"/>
    <pivotField showAll="0"/>
    <pivotField showAll="0" defaultSubtotal="0"/>
    <pivotField showAll="0"/>
    <pivotField showAll="0"/>
    <pivotField showAll="0" defaultSubtotal="0"/>
    <pivotField showAll="0" defaultSubtotal="0"/>
    <pivotField showAll="0"/>
    <pivotField showAll="0"/>
    <pivotField showAll="0" defaultSubtotal="0"/>
    <pivotField showAll="0"/>
    <pivotField showAll="0"/>
    <pivotField showAll="0" defaultSubtotal="0"/>
    <pivotField showAll="0"/>
    <pivotField showAll="0" defaultSubtotal="0"/>
    <pivotField showAll="0" defaultSubtotal="0"/>
    <pivotField showAll="0" defaultSubtotal="0"/>
    <pivotField showAll="0"/>
    <pivotField showAl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6">
    <i>
      <x v="2"/>
    </i>
    <i>
      <x v="3"/>
    </i>
    <i>
      <x v="4"/>
    </i>
    <i>
      <x v="5"/>
    </i>
    <i>
      <x v="6"/>
    </i>
    <i>
      <x v="7"/>
    </i>
  </rowItems>
  <colFields count="1">
    <field x="-2"/>
  </colFields>
  <colItems count="6">
    <i>
      <x/>
    </i>
    <i i="1">
      <x v="1"/>
    </i>
    <i i="2">
      <x v="2"/>
    </i>
    <i i="3">
      <x v="3"/>
    </i>
    <i i="4">
      <x v="4"/>
    </i>
    <i i="5">
      <x v="5"/>
    </i>
  </colItems>
  <dataFields count="6">
    <dataField name="3-Yr MA FD Costs/3-Yr MA Additions ($/BOE) " fld="96" baseField="0" baseItem="0" numFmtId="8"/>
    <dataField name="Annual Cash Costs per Bbl of Production ($/BOE)" fld="97" baseField="0" baseItem="0" numFmtId="8"/>
    <dataField name="Sum of US Total Production (MMBOE)" fld="6" baseField="0" baseItem="0" numFmtId="4"/>
    <dataField name="Return of Current Capex ($/BOE) " fld="98" baseField="0" baseItem="0" numFmtId="8"/>
    <dataField name="Sum of Total Capital + Cash Costs $MM" fld="76" baseField="2" baseItem="4" numFmtId="8"/>
    <dataField name="Sum of US Total Capital ($MM)" fld="49" baseField="0" baseItem="0"/>
  </dataFields>
  <formats count="3">
    <format dxfId="31">
      <pivotArea outline="0" collapsedLevelsAreSubtotals="1" fieldPosition="0">
        <references count="1">
          <reference field="4294967294" count="3" selected="0">
            <x v="0"/>
            <x v="1"/>
            <x v="3"/>
          </reference>
        </references>
      </pivotArea>
    </format>
    <format dxfId="30">
      <pivotArea outline="0" collapsedLevelsAreSubtotals="1" fieldPosition="0">
        <references count="1">
          <reference field="4294967294" count="1" selected="0">
            <x v="4"/>
          </reference>
        </references>
      </pivotArea>
    </format>
    <format dxfId="29">
      <pivotArea outline="0" collapsedLevelsAreSubtotals="1" fieldPosition="0">
        <references count="1">
          <reference field="4294967294" count="1" selected="0">
            <x v="2"/>
          </reference>
        </references>
      </pivotArea>
    </format>
  </formats>
  <chartFormats count="3">
    <chartFormat chart="0" format="17" series="1">
      <pivotArea type="data" outline="0" fieldPosition="0">
        <references count="1">
          <reference field="4294967294" count="1" selected="0">
            <x v="0"/>
          </reference>
        </references>
      </pivotArea>
    </chartFormat>
    <chartFormat chart="0" format="18" series="1">
      <pivotArea type="data" outline="0" fieldPosition="0">
        <references count="1">
          <reference field="4294967294" count="1" selected="0">
            <x v="1"/>
          </reference>
        </references>
      </pivotArea>
    </chartFormat>
    <chartFormat chart="0" format="19"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location ref="A37:D47" firstHeaderRow="0" firstDataRow="1" firstDataCol="1" rowPageCount="1" colPageCount="1"/>
  <pivotFields count="159">
    <pivotField axis="axisPage" multipleItemSelectionAllowed="1" showAll="0" defaultSubtotal="0">
      <items count="19">
        <item x="0"/>
        <item x="1"/>
        <item x="2"/>
        <item x="3"/>
        <item h="1" m="1" x="17"/>
        <item x="5"/>
        <item x="7"/>
        <item x="8"/>
        <item x="9"/>
        <item h="1" m="1" x="16"/>
        <item x="12"/>
        <item x="13"/>
        <item x="14"/>
        <item x="15"/>
        <item h="1" m="1" x="18"/>
        <item h="1" x="11"/>
        <item h="1" x="4"/>
        <item h="1" x="6"/>
        <item h="1" x="10"/>
      </items>
    </pivotField>
    <pivotField showAll="0" defaultSubtotal="0"/>
    <pivotField axis="axisRow" showAll="0" defaultSubtotal="0">
      <items count="10">
        <item x="0"/>
        <item x="1"/>
        <item x="2"/>
        <item x="3"/>
        <item x="4"/>
        <item x="5"/>
        <item x="6"/>
        <item x="7"/>
        <item x="8"/>
        <item x="9"/>
      </items>
    </pivotField>
    <pivotField numFmtId="165" showAll="0" defaultSubtotal="0"/>
    <pivotField numFmtId="165" showAll="0" defaultSubtotal="0"/>
    <pivotField showAll="0" defaultSubtotal="0"/>
    <pivotField numFmtId="165" showAll="0" defaultSubtotal="0"/>
    <pivotField numFmtId="165" showAll="0" defaultSubtotal="0"/>
    <pivotField numFmtId="165" showAll="0" defaultSubtotal="0"/>
    <pivotField numFmtId="165" showAll="0" defaultSubtotal="0"/>
    <pivotField numFmtId="165" showAll="0" defaultSubtotal="0"/>
    <pivotField numFmtId="165" showAll="0" defaultSubtotal="0"/>
    <pivotField numFmtId="165" showAll="0" defaultSubtotal="0"/>
    <pivotField numFmtId="165" showAll="0" defaultSubtotal="0"/>
    <pivotField numFmtId="165" showAll="0" defaultSubtotal="0"/>
    <pivotField numFmtId="164" showAll="0" defaultSubtotal="0"/>
    <pivotField numFmtId="164" showAll="0" defaultSubtotal="0"/>
    <pivotField numFmtId="164" showAll="0" defaultSubtotal="0"/>
    <pivotField numFmtId="16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1" showAll="0" defaultSubtotal="0"/>
    <pivotField numFmtId="2" showAll="0" defaultSubtotal="0"/>
    <pivotField numFmtId="2" showAll="0" defaultSubtotal="0"/>
    <pivotField numFmtId="2" showAll="0" defaultSubtotal="0"/>
    <pivotField numFmtId="2" showAll="0" defaultSubtotal="0"/>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10">
    <i>
      <x/>
    </i>
    <i>
      <x v="1"/>
    </i>
    <i>
      <x v="2"/>
    </i>
    <i>
      <x v="3"/>
    </i>
    <i>
      <x v="4"/>
    </i>
    <i>
      <x v="5"/>
    </i>
    <i>
      <x v="6"/>
    </i>
    <i>
      <x v="7"/>
    </i>
    <i>
      <x v="8"/>
    </i>
    <i>
      <x v="9"/>
    </i>
  </rowItems>
  <colFields count="1">
    <field x="-2"/>
  </colFields>
  <colItems count="3">
    <i>
      <x/>
    </i>
    <i i="1">
      <x v="1"/>
    </i>
    <i i="2">
      <x v="2"/>
    </i>
  </colItems>
  <pageFields count="1">
    <pageField fld="0" hier="-1"/>
  </pageFields>
  <dataFields count="3">
    <dataField name="Sum of 3-Year MA Capex" fld="156" baseField="0" baseItem="0"/>
    <dataField name="Sum of U.S. Cash Costs" fld="157" baseField="0" baseItem="0" numFmtId="165"/>
    <dataField name="Sum of 10% Return" fld="158" baseField="0" baseItem="0" numFmtId="165"/>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3-Year MA Additions &amp; FD Capex"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7">
  <location ref="B62:D71"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2">
    <i>
      <x/>
    </i>
    <i i="1">
      <x v="1"/>
    </i>
  </colItems>
  <dataFields count="2">
    <dataField name="3-Year MA Reserve Additions (L)" fld="192" baseField="0" baseItem="0"/>
    <dataField name="3-Year MA FD Capex (R)" fld="193" baseField="0" baseItem="0"/>
  </dataFields>
  <formats count="1">
    <format dxfId="35">
      <pivotArea outline="0" collapsedLevelsAreSubtotals="1" fieldPosition="0"/>
    </format>
  </format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
  <location ref="B1:F113" firstHeaderRow="0" firstDataRow="1" firstDataCol="2"/>
  <pivotFields count="103">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1">
        <item x="1"/>
        <item x="0"/>
        <item x="3"/>
        <item x="2"/>
        <item x="5"/>
        <item m="1" x="19"/>
        <item x="7"/>
        <item x="8"/>
        <item x="9"/>
        <item x="12"/>
        <item x="13"/>
        <item x="14"/>
        <item x="15"/>
        <item m="1" x="20"/>
        <item m="1" x="18"/>
        <item m="1" x="17"/>
        <item m="1" x="16"/>
        <item x="11"/>
        <item x="4"/>
        <item x="6"/>
        <item x="10"/>
      </items>
      <extLst>
        <ext xmlns:x14="http://schemas.microsoft.com/office/spreadsheetml/2009/9/main" uri="{2946ED86-A175-432a-8AC1-64E0C546D7DE}">
          <x14:pivotField fillDownLabels="1"/>
        </ext>
      </extLst>
    </pivotField>
    <pivotField axis="axisRow" compact="0" outline="0" showAll="0" defaultSubtotal="0">
      <items count="10">
        <item h="1" x="0"/>
        <item h="1" x="1"/>
        <item x="2"/>
        <item x="3"/>
        <item x="4"/>
        <item x="5"/>
        <item x="6"/>
        <item x="7"/>
        <item x="8"/>
        <item h="1"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numFmtId="1"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4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2">
    <field x="2"/>
    <field x="1"/>
  </rowFields>
  <rowItems count="112">
    <i>
      <x v="2"/>
      <x/>
    </i>
    <i r="1">
      <x v="1"/>
    </i>
    <i r="1">
      <x v="2"/>
    </i>
    <i r="1">
      <x v="3"/>
    </i>
    <i r="1">
      <x v="4"/>
    </i>
    <i r="1">
      <x v="6"/>
    </i>
    <i r="1">
      <x v="7"/>
    </i>
    <i r="1">
      <x v="8"/>
    </i>
    <i r="1">
      <x v="9"/>
    </i>
    <i r="1">
      <x v="10"/>
    </i>
    <i r="1">
      <x v="11"/>
    </i>
    <i r="1">
      <x v="12"/>
    </i>
    <i r="1">
      <x v="17"/>
    </i>
    <i r="1">
      <x v="18"/>
    </i>
    <i r="1">
      <x v="19"/>
    </i>
    <i r="1">
      <x v="20"/>
    </i>
    <i>
      <x v="3"/>
      <x/>
    </i>
    <i r="1">
      <x v="1"/>
    </i>
    <i r="1">
      <x v="2"/>
    </i>
    <i r="1">
      <x v="3"/>
    </i>
    <i r="1">
      <x v="4"/>
    </i>
    <i r="1">
      <x v="6"/>
    </i>
    <i r="1">
      <x v="7"/>
    </i>
    <i r="1">
      <x v="8"/>
    </i>
    <i r="1">
      <x v="9"/>
    </i>
    <i r="1">
      <x v="10"/>
    </i>
    <i r="1">
      <x v="11"/>
    </i>
    <i r="1">
      <x v="12"/>
    </i>
    <i r="1">
      <x v="17"/>
    </i>
    <i r="1">
      <x v="18"/>
    </i>
    <i r="1">
      <x v="19"/>
    </i>
    <i r="1">
      <x v="20"/>
    </i>
    <i>
      <x v="4"/>
      <x/>
    </i>
    <i r="1">
      <x v="1"/>
    </i>
    <i r="1">
      <x v="2"/>
    </i>
    <i r="1">
      <x v="3"/>
    </i>
    <i r="1">
      <x v="4"/>
    </i>
    <i r="1">
      <x v="6"/>
    </i>
    <i r="1">
      <x v="7"/>
    </i>
    <i r="1">
      <x v="8"/>
    </i>
    <i r="1">
      <x v="9"/>
    </i>
    <i r="1">
      <x v="10"/>
    </i>
    <i r="1">
      <x v="11"/>
    </i>
    <i r="1">
      <x v="12"/>
    </i>
    <i r="1">
      <x v="17"/>
    </i>
    <i r="1">
      <x v="18"/>
    </i>
    <i r="1">
      <x v="19"/>
    </i>
    <i r="1">
      <x v="20"/>
    </i>
    <i>
      <x v="5"/>
      <x/>
    </i>
    <i r="1">
      <x v="1"/>
    </i>
    <i r="1">
      <x v="2"/>
    </i>
    <i r="1">
      <x v="3"/>
    </i>
    <i r="1">
      <x v="4"/>
    </i>
    <i r="1">
      <x v="6"/>
    </i>
    <i r="1">
      <x v="7"/>
    </i>
    <i r="1">
      <x v="8"/>
    </i>
    <i r="1">
      <x v="9"/>
    </i>
    <i r="1">
      <x v="10"/>
    </i>
    <i r="1">
      <x v="11"/>
    </i>
    <i r="1">
      <x v="12"/>
    </i>
    <i r="1">
      <x v="17"/>
    </i>
    <i r="1">
      <x v="18"/>
    </i>
    <i r="1">
      <x v="19"/>
    </i>
    <i r="1">
      <x v="20"/>
    </i>
    <i>
      <x v="6"/>
      <x/>
    </i>
    <i r="1">
      <x v="1"/>
    </i>
    <i r="1">
      <x v="2"/>
    </i>
    <i r="1">
      <x v="3"/>
    </i>
    <i r="1">
      <x v="4"/>
    </i>
    <i r="1">
      <x v="6"/>
    </i>
    <i r="1">
      <x v="7"/>
    </i>
    <i r="1">
      <x v="8"/>
    </i>
    <i r="1">
      <x v="9"/>
    </i>
    <i r="1">
      <x v="10"/>
    </i>
    <i r="1">
      <x v="11"/>
    </i>
    <i r="1">
      <x v="12"/>
    </i>
    <i r="1">
      <x v="17"/>
    </i>
    <i r="1">
      <x v="18"/>
    </i>
    <i r="1">
      <x v="19"/>
    </i>
    <i r="1">
      <x v="20"/>
    </i>
    <i>
      <x v="7"/>
      <x/>
    </i>
    <i r="1">
      <x v="1"/>
    </i>
    <i r="1">
      <x v="2"/>
    </i>
    <i r="1">
      <x v="3"/>
    </i>
    <i r="1">
      <x v="4"/>
    </i>
    <i r="1">
      <x v="6"/>
    </i>
    <i r="1">
      <x v="7"/>
    </i>
    <i r="1">
      <x v="8"/>
    </i>
    <i r="1">
      <x v="9"/>
    </i>
    <i r="1">
      <x v="10"/>
    </i>
    <i r="1">
      <x v="11"/>
    </i>
    <i r="1">
      <x v="12"/>
    </i>
    <i r="1">
      <x v="17"/>
    </i>
    <i r="1">
      <x v="18"/>
    </i>
    <i r="1">
      <x v="19"/>
    </i>
    <i r="1">
      <x v="20"/>
    </i>
    <i>
      <x v="8"/>
      <x/>
    </i>
    <i r="1">
      <x v="1"/>
    </i>
    <i r="1">
      <x v="2"/>
    </i>
    <i r="1">
      <x v="3"/>
    </i>
    <i r="1">
      <x v="4"/>
    </i>
    <i r="1">
      <x v="6"/>
    </i>
    <i r="1">
      <x v="7"/>
    </i>
    <i r="1">
      <x v="8"/>
    </i>
    <i r="1">
      <x v="9"/>
    </i>
    <i r="1">
      <x v="10"/>
    </i>
    <i r="1">
      <x v="11"/>
    </i>
    <i r="1">
      <x v="12"/>
    </i>
    <i r="1">
      <x v="17"/>
    </i>
    <i r="1">
      <x v="18"/>
    </i>
    <i r="1">
      <x v="19"/>
    </i>
    <i r="1">
      <x v="20"/>
    </i>
  </rowItems>
  <colFields count="1">
    <field x="-2"/>
  </colFields>
  <colItems count="3">
    <i>
      <x/>
    </i>
    <i i="1">
      <x v="1"/>
    </i>
    <i i="2">
      <x v="2"/>
    </i>
  </colItems>
  <dataFields count="3">
    <dataField name="Sum of 3-Year Average US FD ($/BOE)" fld="53" baseField="1" baseItem="3"/>
    <dataField name="Sum of US Cash Cost ($/BOE)" fld="73" baseField="0" baseItem="0"/>
    <dataField name="Sum of 10% Return/BOE" fld="79" baseField="1" baseItem="2"/>
  </dataFields>
  <formats count="29">
    <format dxfId="28">
      <pivotArea outline="0" collapsedLevelsAreSubtotals="1" fieldPosition="0"/>
    </format>
    <format dxfId="27">
      <pivotArea dataOnly="0" labelOnly="1" outline="0" axis="axisValues" fieldPosition="0"/>
    </format>
    <format dxfId="26">
      <pivotArea field="2" type="button" dataOnly="0" labelOnly="1" outline="0" axis="axisRow" fieldPosition="0"/>
    </format>
    <format dxfId="25">
      <pivotArea field="1" type="button" dataOnly="0" labelOnly="1" outline="0" axis="axisRow" fieldPosition="1"/>
    </format>
    <format dxfId="24">
      <pivotArea outline="0" collapsedLevelsAreSubtotals="1" fieldPosition="0">
        <references count="2">
          <reference field="1" count="1" selected="0">
            <x v="12"/>
          </reference>
          <reference field="2" count="1" selected="0">
            <x v="3"/>
          </reference>
        </references>
      </pivotArea>
    </format>
    <format dxfId="23">
      <pivotArea outline="0" collapsedLevelsAreSubtotals="1" fieldPosition="0">
        <references count="2">
          <reference field="1" count="1" selected="0">
            <x v="12"/>
          </reference>
          <reference field="2" count="1" selected="0">
            <x v="4"/>
          </reference>
        </references>
      </pivotArea>
    </format>
    <format dxfId="22">
      <pivotArea outline="0" collapsedLevelsAreSubtotals="1" fieldPosition="0">
        <references count="2">
          <reference field="1" count="1" selected="0">
            <x v="3"/>
          </reference>
          <reference field="2" count="1" selected="0">
            <x v="5"/>
          </reference>
        </references>
      </pivotArea>
    </format>
    <format dxfId="21">
      <pivotArea outline="0" collapsedLevelsAreSubtotals="1" fieldPosition="0">
        <references count="2">
          <reference field="1" count="1" selected="0">
            <x v="3"/>
          </reference>
          <reference field="2" count="1" selected="0">
            <x v="6"/>
          </reference>
        </references>
      </pivotArea>
    </format>
    <format dxfId="20">
      <pivotArea outline="0" collapsedLevelsAreSubtotals="1" fieldPosition="0">
        <references count="2">
          <reference field="1" count="1" selected="0">
            <x v="5"/>
          </reference>
          <reference field="2" count="1" selected="0">
            <x v="3"/>
          </reference>
        </references>
      </pivotArea>
    </format>
    <format dxfId="19">
      <pivotArea outline="0" collapsedLevelsAreSubtotals="1" fieldPosition="0">
        <references count="2">
          <reference field="1" count="1" selected="0">
            <x v="9"/>
          </reference>
          <reference field="2" count="1" selected="0">
            <x v="4"/>
          </reference>
        </references>
      </pivotArea>
    </format>
    <format dxfId="18">
      <pivotArea outline="0" collapsedLevelsAreSubtotals="1" fieldPosition="0">
        <references count="2">
          <reference field="1" count="1" selected="0">
            <x v="4"/>
          </reference>
          <reference field="2" count="1" selected="0">
            <x v="5"/>
          </reference>
        </references>
      </pivotArea>
    </format>
    <format dxfId="17">
      <pivotArea outline="0" collapsedLevelsAreSubtotals="1" fieldPosition="0">
        <references count="2">
          <reference field="1" count="1" selected="0">
            <x v="5"/>
          </reference>
          <reference field="2" count="1" selected="0">
            <x v="6"/>
          </reference>
        </references>
      </pivotArea>
    </format>
    <format dxfId="16">
      <pivotArea outline="0" collapsedLevelsAreSubtotals="1" fieldPosition="0">
        <references count="2">
          <reference field="1" count="1" selected="0">
            <x v="11"/>
          </reference>
          <reference field="2" count="1" selected="0">
            <x v="7"/>
          </reference>
        </references>
      </pivotArea>
    </format>
    <format dxfId="15">
      <pivotArea outline="0" collapsedLevelsAreSubtotals="1" fieldPosition="0">
        <references count="3">
          <reference field="4294967294" count="1" selected="0">
            <x v="0"/>
          </reference>
          <reference field="1" count="1" selected="0">
            <x v="11"/>
          </reference>
          <reference field="2" count="1" selected="0">
            <x v="7"/>
          </reference>
        </references>
      </pivotArea>
    </format>
    <format dxfId="14">
      <pivotArea outline="0" collapsedLevelsAreSubtotals="1" fieldPosition="0">
        <references count="3">
          <reference field="4294967294" count="1" selected="0">
            <x v="0"/>
          </reference>
          <reference field="1" count="1" selected="0">
            <x v="5"/>
          </reference>
          <reference field="2" count="1" selected="0">
            <x v="7"/>
          </reference>
        </references>
      </pivotArea>
    </format>
    <format dxfId="13">
      <pivotArea outline="0" collapsedLevelsAreSubtotals="1" fieldPosition="0">
        <references count="3">
          <reference field="4294967294" count="1" selected="0">
            <x v="1"/>
          </reference>
          <reference field="1" count="1" selected="0">
            <x v="5"/>
          </reference>
          <reference field="2" count="1" selected="0">
            <x v="7"/>
          </reference>
        </references>
      </pivotArea>
    </format>
    <format dxfId="12">
      <pivotArea outline="0" collapsedLevelsAreSubtotals="1" fieldPosition="0">
        <references count="3">
          <reference field="4294967294" count="1" selected="0">
            <x v="1"/>
          </reference>
          <reference field="1" count="1" selected="0">
            <x v="11"/>
          </reference>
          <reference field="2" count="1" selected="0">
            <x v="7"/>
          </reference>
        </references>
      </pivotArea>
    </format>
    <format dxfId="11">
      <pivotArea outline="0" collapsedLevelsAreSubtotals="1" fieldPosition="0">
        <references count="3">
          <reference field="4294967294" count="1" selected="0">
            <x v="2"/>
          </reference>
          <reference field="1" count="1" selected="0">
            <x v="5"/>
          </reference>
          <reference field="2" count="1" selected="0">
            <x v="7"/>
          </reference>
        </references>
      </pivotArea>
    </format>
    <format dxfId="10">
      <pivotArea outline="0" collapsedLevelsAreSubtotals="1" fieldPosition="0"/>
    </format>
    <format dxfId="9">
      <pivotArea dataOnly="0" labelOnly="1" outline="0" fieldPosition="0">
        <references count="1">
          <reference field="2" count="0"/>
        </references>
      </pivotArea>
    </format>
    <format dxfId="8">
      <pivotArea dataOnly="0" labelOnly="1" outline="0" fieldPosition="0">
        <references count="2">
          <reference field="1" count="0"/>
          <reference field="2" count="1" selected="0">
            <x v="3"/>
          </reference>
        </references>
      </pivotArea>
    </format>
    <format dxfId="7">
      <pivotArea dataOnly="0" labelOnly="1" outline="0" fieldPosition="0">
        <references count="2">
          <reference field="1" count="0"/>
          <reference field="2" count="1" selected="0">
            <x v="4"/>
          </reference>
        </references>
      </pivotArea>
    </format>
    <format dxfId="6">
      <pivotArea dataOnly="0" labelOnly="1" outline="0" fieldPosition="0">
        <references count="2">
          <reference field="1" count="0"/>
          <reference field="2" count="1" selected="0">
            <x v="5"/>
          </reference>
        </references>
      </pivotArea>
    </format>
    <format dxfId="5">
      <pivotArea dataOnly="0" labelOnly="1" outline="0" fieldPosition="0">
        <references count="2">
          <reference field="1" count="0"/>
          <reference field="2" count="1" selected="0">
            <x v="6"/>
          </reference>
        </references>
      </pivotArea>
    </format>
    <format dxfId="4">
      <pivotArea dataOnly="0" labelOnly="1" outline="0" fieldPosition="0">
        <references count="2">
          <reference field="1" count="0"/>
          <reference field="2" count="1" selected="0">
            <x v="7"/>
          </reference>
        </references>
      </pivotArea>
    </format>
    <format dxfId="3">
      <pivotArea dataOnly="0" labelOnly="1" outline="0" fieldPosition="0">
        <references count="2">
          <reference field="1" count="0"/>
          <reference field="2" count="1" selected="0">
            <x v="8"/>
          </reference>
        </references>
      </pivotArea>
    </format>
    <format dxfId="2">
      <pivotArea outline="0" collapsedLevelsAreSubtotals="1" fieldPosition="0">
        <references count="2">
          <reference field="1" count="0" selected="0"/>
          <reference field="2" count="1" selected="0">
            <x v="2"/>
          </reference>
        </references>
      </pivotArea>
    </format>
    <format dxfId="1">
      <pivotArea dataOnly="0" labelOnly="1" outline="0" fieldPosition="0">
        <references count="1">
          <reference field="2" count="1">
            <x v="2"/>
          </reference>
        </references>
      </pivotArea>
    </format>
    <format dxfId="0">
      <pivotArea dataOnly="0" labelOnly="1" outline="0" fieldPosition="0">
        <references count="2">
          <reference field="1" count="0"/>
          <reference field="2"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Cost Stack with Return Equal to FD Capex"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7">
  <location ref="B26:E35"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3">
    <i>
      <x/>
    </i>
    <i i="1">
      <x v="1"/>
    </i>
    <i i="2">
      <x v="2"/>
    </i>
  </colItems>
  <dataFields count="3">
    <dataField name="3-Year MA FD Costs" fld="188" baseField="0" baseItem="0"/>
    <dataField name="Cash Costs" fld="160" baseField="0" baseItem="0" numFmtId="165"/>
    <dataField name="FD Return" fld="162" baseField="0" baseItem="0"/>
  </dataFields>
  <chartFormats count="3">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1"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An Equivalent Barrel"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8">
  <location ref="B2:F11"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dataField="1" showAll="0"/>
    <pivotField dataField="1" showAll="0"/>
    <pivotField dataField="1"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4">
    <i>
      <x/>
    </i>
    <i i="1">
      <x v="1"/>
    </i>
    <i i="2">
      <x v="2"/>
    </i>
    <i i="3">
      <x v="3"/>
    </i>
  </colItems>
  <dataFields count="4">
    <dataField name="US Natural Gas Production" fld="187" baseField="0" baseItem="0" numFmtId="165"/>
    <dataField name="US Oil and Liquids Production" fld="4" baseField="0" baseItem="0"/>
    <dataField name="US NGL Production" fld="5" baseField="0" baseItem="2352048"/>
    <dataField name="US Total Production" fld="6" baseField="0" baseItem="0"/>
  </dataFields>
  <formats count="1">
    <format dxfId="36">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1"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
  <location ref="B122:D131"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2">
    <i>
      <x/>
    </i>
    <i i="1">
      <x v="1"/>
    </i>
  </colItems>
  <dataFields count="2">
    <dataField name="Suspended Exploration Costs" fld="93" baseField="2" baseItem="4"/>
    <dataField name="Costs Excluded From FC Amort. Pool" fld="94" baseField="2" baseItem="4"/>
  </dataFields>
  <formats count="2">
    <format dxfId="38">
      <pivotArea collapsedLevelsAreSubtotals="1" fieldPosition="0">
        <references count="1">
          <reference field="2" count="0"/>
        </references>
      </pivotArea>
    </format>
    <format dxfId="37">
      <pivotArea grandRow="1" outline="0" collapsedLevelsAreSubtotals="1" fieldPosition="0"/>
    </format>
  </formats>
  <chartFormats count="2">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0"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7">
  <location ref="B110:F119"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4">
    <i>
      <x/>
    </i>
    <i i="1">
      <x v="1"/>
    </i>
    <i i="2">
      <x v="2"/>
    </i>
    <i i="3">
      <x v="3"/>
    </i>
  </colItems>
  <dataFields count="4">
    <dataField name="Revisions " fld="179" baseField="0" baseItem="0" numFmtId="1"/>
    <dataField name="Extensions, Discoveries, Other " fld="180" baseField="0" baseItem="0" numFmtId="1"/>
    <dataField name="Purchases of Reserves " fld="181" baseField="0" baseItem="0" numFmtId="1"/>
    <dataField name="Improved Recovery " fld="182" baseField="0" baseItem="0" numFmtId="1"/>
  </dataFields>
  <formats count="1">
    <format dxfId="39">
      <pivotArea outline="0" collapsedLevelsAreSubtotals="1" fieldPosition="0"/>
    </format>
  </formats>
  <chartFormats count="4">
    <chartFormat chart="1" format="12" series="1">
      <pivotArea type="data" outline="0" fieldPosition="0">
        <references count="1">
          <reference field="4294967294" count="1" selected="0">
            <x v="0"/>
          </reference>
        </references>
      </pivotArea>
    </chartFormat>
    <chartFormat chart="1" format="13" series="1">
      <pivotArea type="data" outline="0" fieldPosition="0">
        <references count="1">
          <reference field="4294967294" count="1" selected="0">
            <x v="1"/>
          </reference>
        </references>
      </pivotArea>
    </chartFormat>
    <chartFormat chart="1" format="14" series="1">
      <pivotArea type="data" outline="0" fieldPosition="0">
        <references count="1">
          <reference field="4294967294" count="1" selected="0">
            <x v="2"/>
          </reference>
        </references>
      </pivotArea>
    </chartFormat>
    <chartFormat chart="1" format="15"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Cost Stack with 10% Return ($/BOE)"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9">
  <location ref="B14:E23"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3">
    <i>
      <x/>
    </i>
    <i i="1">
      <x v="1"/>
    </i>
    <i i="2">
      <x v="2"/>
    </i>
  </colItems>
  <dataFields count="3">
    <dataField name="3-Year MA FD Costs" fld="188" baseField="0" baseItem="0"/>
    <dataField name="Cash Costs" fld="160" baseField="0" baseItem="0" numFmtId="165"/>
    <dataField name="10% Return " fld="189" baseField="0" baseItem="0" numFmtId="165"/>
  </dataFields>
  <formats count="1">
    <format dxfId="40">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5">
  <location ref="B158:E167"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dataField="1" showAll="0"/>
    <pivotField dataField="1"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9">
    <i>
      <x v="2"/>
    </i>
    <i>
      <x v="3"/>
    </i>
    <i>
      <x v="4"/>
    </i>
    <i>
      <x v="5"/>
    </i>
    <i>
      <x v="6"/>
    </i>
    <i>
      <x v="7"/>
    </i>
    <i>
      <x v="8"/>
    </i>
    <i>
      <x v="9"/>
    </i>
    <i t="grand">
      <x/>
    </i>
  </rowItems>
  <colFields count="1">
    <field x="-2"/>
  </colFields>
  <colItems count="3">
    <i>
      <x/>
    </i>
    <i i="1">
      <x v="1"/>
    </i>
    <i i="2">
      <x v="2"/>
    </i>
  </colItems>
  <dataFields count="3">
    <dataField name="US Gas Production" fld="156" baseField="0" baseItem="0" numFmtId="165"/>
    <dataField name="US Oil and Liquids Production" fld="4" baseField="0" baseItem="0"/>
    <dataField name="US NGL Production" fld="5" baseField="0" baseItem="2352048"/>
  </dataFields>
  <formats count="1">
    <format dxfId="41">
      <pivotArea outline="0" collapsedLevelsAreSubtotals="1" fieldPosition="0"/>
    </format>
  </formats>
  <chartFormats count="5">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9" format="5" series="1">
      <pivotArea type="data" outline="0" fieldPosition="0">
        <references count="1">
          <reference field="4294967294" count="1" selected="0">
            <x v="1"/>
          </reference>
        </references>
      </pivotArea>
    </chartFormat>
    <chartFormat chart="9" format="6" series="1">
      <pivotArea type="data" outline="0" fieldPosition="0">
        <references count="1">
          <reference field="4294967294" count="1" selected="0">
            <x v="2"/>
          </reference>
        </references>
      </pivotArea>
    </chartFormat>
    <chartFormat chart="9"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9"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3">
  <location ref="B98:H107" firstHeaderRow="0" firstDataRow="1" firstDataCol="1"/>
  <pivotFields count="207">
    <pivotField showAll="0">
      <items count="20">
        <item x="0"/>
        <item x="1"/>
        <item x="2"/>
        <item x="3"/>
        <item h="1" m="1" x="17"/>
        <item x="4"/>
        <item x="5"/>
        <item x="6"/>
        <item x="7"/>
        <item x="8"/>
        <item x="9"/>
        <item h="1" m="1" x="16"/>
        <item x="10"/>
        <item x="11"/>
        <item x="12"/>
        <item x="13"/>
        <item x="14"/>
        <item x="15"/>
        <item h="1" m="1" x="18"/>
        <item t="default"/>
      </items>
    </pivotField>
    <pivotField showAll="0"/>
    <pivotField axis="axisRow" showAll="0">
      <items count="11">
        <item h="1" x="0"/>
        <item h="1" x="1"/>
        <item x="2"/>
        <item x="3"/>
        <item x="4"/>
        <item x="5"/>
        <item x="6"/>
        <item x="7"/>
        <item x="8"/>
        <item x="9"/>
        <item t="default"/>
      </items>
    </pivotField>
    <pivotField numFmtId="165" showAll="0"/>
    <pivotField showAll="0"/>
    <pivotField showAll="0"/>
    <pivotField numFmtId="165" showAll="0"/>
    <pivotField numFmtId="165" showAll="0"/>
    <pivotField numFmtId="165" showAll="0"/>
    <pivotField numFmtId="165" showAll="0"/>
    <pivotField showAll="0"/>
    <pivotField numFmtId="165" showAll="0"/>
    <pivotField numFmtId="165" showAll="0"/>
    <pivotField numFmtId="165" showAll="0"/>
    <pivotField numFmtId="165" showAll="0"/>
    <pivotField numFmtId="164" showAll="0"/>
    <pivotField numFmtId="164" showAll="0"/>
    <pivotField numFmtId="164" showAll="0"/>
    <pivotField numFmtId="164" showAll="0"/>
    <pivotField numFmtId="3" showAll="0"/>
    <pivotField showAll="0"/>
    <pivotField showAll="0"/>
    <pivotField numFmtId="165" showAll="0"/>
    <pivotField showAll="0"/>
    <pivotField numFmtId="165" showAll="0"/>
    <pivotField showAll="0"/>
    <pivotField showAll="0"/>
    <pivotField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1" showAll="0"/>
    <pivotField numFmtId="2" showAll="0"/>
    <pivotField numFmtId="2" showAll="0"/>
    <pivotField numFmtId="2" showAll="0"/>
    <pivotField numFmtId="2" showAll="0"/>
    <pivotField numFmtId="4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2"/>
  </rowFields>
  <rowItems count="9">
    <i>
      <x v="2"/>
    </i>
    <i>
      <x v="3"/>
    </i>
    <i>
      <x v="4"/>
    </i>
    <i>
      <x v="5"/>
    </i>
    <i>
      <x v="6"/>
    </i>
    <i>
      <x v="7"/>
    </i>
    <i>
      <x v="8"/>
    </i>
    <i>
      <x v="9"/>
    </i>
    <i t="grand">
      <x/>
    </i>
  </rowItems>
  <colFields count="1">
    <field x="-2"/>
  </colFields>
  <colItems count="6">
    <i>
      <x/>
    </i>
    <i i="1">
      <x v="1"/>
    </i>
    <i i="2">
      <x v="2"/>
    </i>
    <i i="3">
      <x v="3"/>
    </i>
    <i i="4">
      <x v="4"/>
    </i>
    <i i="5">
      <x v="5"/>
    </i>
  </colItems>
  <dataFields count="6">
    <dataField name="Production Costs " fld="201" baseField="0" baseItem="0" numFmtId="165"/>
    <dataField name="G&amp;A and Marketing " fld="202" baseField="0" baseItem="0" numFmtId="165"/>
    <dataField name="Cash Income Taxes " fld="203" baseField="0" baseItem="0" numFmtId="165"/>
    <dataField name="Non-Income Taxes " fld="204" baseField="0" baseItem="0" numFmtId="165"/>
    <dataField name="Total Interest Expense " fld="205" baseField="0" baseItem="0" numFmtId="165"/>
    <dataField name="Cash Costs/Barrel Produced " fld="206" baseField="0" baseItem="0" numFmtId="165"/>
  </dataFields>
  <formats count="1">
    <format dxfId="42">
      <pivotArea outline="0" collapsedLevelsAreSubtotals="1" fieldPosition="0"/>
    </format>
  </formats>
  <chartFormats count="6">
    <chartFormat chart="1" format="11" series="1">
      <pivotArea type="data" outline="0" fieldPosition="0">
        <references count="1">
          <reference field="4294967294" count="1" selected="0">
            <x v="0"/>
          </reference>
        </references>
      </pivotArea>
    </chartFormat>
    <chartFormat chart="1" format="12" series="1">
      <pivotArea type="data" outline="0" fieldPosition="0">
        <references count="1">
          <reference field="4294967294" count="1" selected="0">
            <x v="1"/>
          </reference>
        </references>
      </pivotArea>
    </chartFormat>
    <chartFormat chart="1" format="13" series="1">
      <pivotArea type="data" outline="0" fieldPosition="0">
        <references count="1">
          <reference field="4294967294" count="1" selected="0">
            <x v="2"/>
          </reference>
        </references>
      </pivotArea>
    </chartFormat>
    <chartFormat chart="1" format="14" series="1">
      <pivotArea type="data" outline="0" fieldPosition="0">
        <references count="1">
          <reference field="4294967294" count="1" selected="0">
            <x v="3"/>
          </reference>
        </references>
      </pivotArea>
    </chartFormat>
    <chartFormat chart="1" format="15" series="1">
      <pivotArea type="data" outline="0" fieldPosition="0">
        <references count="1">
          <reference field="4294967294" count="1" selected="0">
            <x v="4"/>
          </reference>
        </references>
      </pivotArea>
    </chartFormat>
    <chartFormat chart="1" format="1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1" sourceName="Company">
  <pivotTables>
    <pivotTable tabId="126" name="An Equivalent Barrel"/>
    <pivotTable tabId="126" name="Cost Stack with 10% Return ($/BOE)"/>
    <pivotTable tabId="126" name="Cost Stack with Return Equal to FD Capex"/>
    <pivotTable tabId="126" name="Cost Stack with 10% Return ($/BCFE)"/>
    <pivotTable tabId="126" name="Cost Stack with Return Equal to FD Capex ($/BCFE)"/>
    <pivotTable tabId="126" name="3-Year MA Additions &amp; FD Capex"/>
    <pivotTable tabId="126" name="PivotTable17"/>
    <pivotTable tabId="126" name="PivotTable18"/>
    <pivotTable tabId="126" name="PivotTable20"/>
    <pivotTable tabId="126" name="PivotTable19"/>
    <pivotTable tabId="126" name="PivotTable21"/>
    <pivotTable tabId="126" name="PivotTable1"/>
    <pivotTable tabId="126" name="PivotTable2"/>
    <pivotTable tabId="126" name="PivotTable3"/>
    <pivotTable tabId="126" name="PivotTable4"/>
    <pivotTable tabId="126" name="PivotTable6"/>
  </pivotTables>
  <data>
    <tabular pivotCacheId="2">
      <items count="19">
        <i x="0" s="1"/>
        <i x="1" s="1"/>
        <i x="2" s="1"/>
        <i x="3" s="1"/>
        <i x="4" s="1"/>
        <i x="5" s="1"/>
        <i x="6" s="1"/>
        <i x="7" s="1"/>
        <i x="8" s="1"/>
        <i x="9" s="1"/>
        <i x="10" s="1"/>
        <i x="11" s="1"/>
        <i x="12" s="1"/>
        <i x="13" s="1"/>
        <i x="14" s="1"/>
        <i x="15" s="1"/>
        <i x="17" nd="1"/>
        <i x="16" nd="1"/>
        <i x="18"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1" sourceName="Year">
  <pivotTables>
    <pivotTable tabId="126" name="An Equivalent Barrel"/>
    <pivotTable tabId="126" name="Cost Stack with 10% Return ($/BOE)"/>
    <pivotTable tabId="126" name="Cost Stack with Return Equal to FD Capex"/>
    <pivotTable tabId="126" name="Cost Stack with 10% Return ($/BCFE)"/>
    <pivotTable tabId="126" name="Cost Stack with Return Equal to FD Capex ($/BCFE)"/>
    <pivotTable tabId="126" name="3-Year MA Additions &amp; FD Capex"/>
    <pivotTable tabId="126" name="PivotTable17"/>
    <pivotTable tabId="126" name="PivotTable18"/>
    <pivotTable tabId="126" name="PivotTable20"/>
    <pivotTable tabId="126" name="PivotTable19"/>
    <pivotTable tabId="126" name="PivotTable21"/>
    <pivotTable tabId="126" name="PivotTable1"/>
    <pivotTable tabId="126" name="PivotTable2"/>
    <pivotTable tabId="126" name="PivotTable3"/>
    <pivotTable tabId="126" name="PivotTable4"/>
    <pivotTable tabId="126" name="PivotTable6"/>
  </pivotTables>
  <data>
    <tabular pivotCacheId="2">
      <items count="10">
        <i x="0"/>
        <i x="1"/>
        <i x="2" s="1"/>
        <i x="3" s="1"/>
        <i x="4" s="1"/>
        <i x="5" s="1"/>
        <i x="6" s="1"/>
        <i x="7" s="1"/>
        <i x="8" s="1"/>
        <i x="9"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mpany" sourceName="Company">
  <pivotTables>
    <pivotTable tabId="121" name="PivotTable1"/>
  </pivotTables>
  <data>
    <tabular pivotCacheId="2">
      <items count="19">
        <i x="0"/>
        <i x="1" s="1"/>
        <i x="2" s="1"/>
        <i x="3" s="1"/>
        <i x="4"/>
        <i x="5" s="1"/>
        <i x="6"/>
        <i x="7" s="1"/>
        <i x="8"/>
        <i x="9"/>
        <i x="10" s="1"/>
        <i x="11" s="1"/>
        <i x="12"/>
        <i x="13"/>
        <i x="14" s="1"/>
        <i x="15" s="1"/>
        <i x="17" nd="1"/>
        <i x="16" nd="1"/>
        <i x="18"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1" cache="Slicer_Company1" caption="Company" rowHeight="241300"/>
  <slicer name="Year 1" cache="Slicer_Year1" caption="Year" startItem="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Company 2" cache="Slicer_Company1" caption="Company" columnCount="4" style="SlicerStyleLight5" rowHeight="274320"/>
  <slicer name="Year 2" cache="Slicer_Year1" caption="Year" columnCount="5"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Company" cache="Slicer_Company" caption="Company" columnCount="4" rowHeight="54864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1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17" Type="http://schemas.openxmlformats.org/officeDocument/2006/relationships/printerSettings" Target="../printerSettings/printerSettings2.bin"/><Relationship Id="rId2" Type="http://schemas.openxmlformats.org/officeDocument/2006/relationships/pivotTable" Target="../pivotTables/pivotTable2.xml"/><Relationship Id="rId16" Type="http://schemas.openxmlformats.org/officeDocument/2006/relationships/pivotTable" Target="../pivotTables/pivotTable16.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19" Type="http://schemas.microsoft.com/office/2007/relationships/slicer" Target="../slicers/slicer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_rels/sheet3.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17.xml"/><Relationship Id="rId1" Type="http://schemas.openxmlformats.org/officeDocument/2006/relationships/pivotTable" Target="../pivotTables/pivotTable17.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bin"/><Relationship Id="rId1" Type="http://schemas.openxmlformats.org/officeDocument/2006/relationships/pivotTable" Target="../pivotTables/pivotTable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FH172"/>
  <sheetViews>
    <sheetView tabSelected="1" zoomScaleNormal="100" workbookViewId="0">
      <pane xSplit="3" ySplit="2" topLeftCell="D3" activePane="bottomRight" state="frozen"/>
      <selection activeCell="E39" sqref="E39"/>
      <selection pane="topRight" activeCell="E39" sqref="E39"/>
      <selection pane="bottomLeft" activeCell="E39" sqref="E39"/>
      <selection pane="bottomRight" activeCell="BD5" sqref="BD5"/>
    </sheetView>
  </sheetViews>
  <sheetFormatPr defaultColWidth="11.6640625" defaultRowHeight="27.75" customHeight="1" x14ac:dyDescent="0.3"/>
  <cols>
    <col min="1" max="1" width="16.109375" customWidth="1"/>
    <col min="2" max="2" width="6.109375" bestFit="1" customWidth="1"/>
    <col min="3" max="3" width="5" customWidth="1"/>
    <col min="16" max="19" width="11.88671875" bestFit="1" customWidth="1"/>
    <col min="20" max="22" width="11.88671875" customWidth="1"/>
    <col min="49" max="49" width="13" customWidth="1"/>
    <col min="50" max="50" width="12.109375" bestFit="1" customWidth="1"/>
    <col min="58" max="58" width="11.6640625" customWidth="1"/>
    <col min="69" max="69" width="12.109375" customWidth="1"/>
    <col min="73" max="73" width="13.5546875" bestFit="1" customWidth="1"/>
    <col min="74" max="74" width="13" bestFit="1" customWidth="1"/>
    <col min="77" max="77" width="12.5546875" style="80" bestFit="1" customWidth="1"/>
    <col min="78" max="90" width="11.6640625" style="80"/>
    <col min="92" max="93" width="11.6640625" style="80"/>
    <col min="142" max="144" width="11.6640625" style="225"/>
  </cols>
  <sheetData>
    <row r="1" spans="1:164" ht="14.4" x14ac:dyDescent="0.3">
      <c r="A1" s="1"/>
      <c r="B1" s="1"/>
      <c r="C1" s="1"/>
      <c r="D1" s="2"/>
      <c r="E1" s="2"/>
      <c r="F1" s="2"/>
      <c r="G1" s="2"/>
      <c r="H1" s="2"/>
      <c r="I1" s="2"/>
      <c r="J1" s="3" t="s">
        <v>0</v>
      </c>
      <c r="K1" s="2"/>
      <c r="L1" s="2"/>
      <c r="M1" s="2"/>
      <c r="N1" s="2"/>
      <c r="O1" s="2"/>
      <c r="P1" s="2"/>
      <c r="Q1" s="2"/>
      <c r="R1" s="2"/>
      <c r="S1" s="2"/>
      <c r="T1" s="2"/>
      <c r="U1" s="2"/>
      <c r="V1" s="2"/>
      <c r="W1" s="2"/>
      <c r="X1" s="2"/>
      <c r="Y1" s="2"/>
      <c r="Z1" s="2"/>
      <c r="AA1" s="2"/>
      <c r="AB1" s="4"/>
      <c r="AC1" s="5"/>
      <c r="AD1" s="5"/>
      <c r="AE1" s="5"/>
      <c r="AF1" s="5"/>
      <c r="AG1" s="6"/>
      <c r="AH1" s="5"/>
      <c r="AI1" s="5"/>
      <c r="AJ1" s="5"/>
      <c r="AK1" s="7" t="s">
        <v>1</v>
      </c>
      <c r="AL1" s="6"/>
      <c r="AM1" s="5"/>
      <c r="AN1" s="5"/>
      <c r="AO1" s="5"/>
      <c r="AP1" s="5"/>
      <c r="AQ1" s="6"/>
      <c r="AR1" s="6"/>
      <c r="AS1" s="6"/>
      <c r="AT1" s="8"/>
      <c r="AU1" s="8"/>
      <c r="AV1" s="8"/>
      <c r="AW1" s="8"/>
      <c r="AX1" s="9" t="s">
        <v>2</v>
      </c>
      <c r="AY1" s="76"/>
      <c r="AZ1" s="76"/>
      <c r="BA1" s="76"/>
      <c r="BB1" s="76"/>
      <c r="BC1" s="76"/>
      <c r="BD1" s="76"/>
      <c r="BE1" s="10"/>
      <c r="BF1" s="11"/>
      <c r="BG1" s="11"/>
      <c r="BH1" s="10"/>
      <c r="BI1" s="11"/>
      <c r="BJ1" s="11"/>
      <c r="BK1" s="10"/>
      <c r="BL1" s="11"/>
      <c r="BM1" s="11"/>
      <c r="BN1" s="12" t="s">
        <v>3</v>
      </c>
      <c r="BO1" s="11"/>
      <c r="BP1" s="11"/>
      <c r="BQ1" s="10"/>
      <c r="BR1" s="11"/>
      <c r="BS1" s="11"/>
      <c r="BT1" s="11"/>
      <c r="BU1" s="10"/>
      <c r="BV1" s="11"/>
      <c r="BW1" s="11"/>
      <c r="BX1" s="13"/>
      <c r="BY1" s="87"/>
      <c r="BZ1" s="14"/>
      <c r="CA1" s="14"/>
      <c r="CB1" s="14"/>
      <c r="CC1" s="14"/>
      <c r="CD1" s="14"/>
      <c r="CE1" s="14"/>
      <c r="CF1" s="14" t="s">
        <v>252</v>
      </c>
      <c r="CG1" s="14"/>
      <c r="CH1" s="14"/>
      <c r="CI1" s="14"/>
      <c r="CJ1" s="14"/>
      <c r="CK1" s="14"/>
      <c r="CL1" s="14"/>
      <c r="CM1" s="14"/>
      <c r="CN1" s="14"/>
      <c r="CO1" s="14"/>
      <c r="CP1" s="77" t="s">
        <v>89</v>
      </c>
      <c r="CQ1" s="77"/>
      <c r="CS1" s="92"/>
      <c r="CT1" s="92"/>
      <c r="CU1" s="92"/>
      <c r="CV1" s="92"/>
      <c r="CW1" s="92"/>
      <c r="CX1" s="92"/>
      <c r="CY1" s="92"/>
      <c r="CZ1" s="92"/>
      <c r="DA1" s="92" t="s">
        <v>156</v>
      </c>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row>
    <row r="2" spans="1:164" ht="90.75" customHeight="1" x14ac:dyDescent="0.3">
      <c r="A2" s="1" t="s">
        <v>4</v>
      </c>
      <c r="B2" s="1" t="s">
        <v>5</v>
      </c>
      <c r="C2" s="1" t="s">
        <v>6</v>
      </c>
      <c r="D2" s="15" t="s">
        <v>93</v>
      </c>
      <c r="E2" s="15" t="s">
        <v>94</v>
      </c>
      <c r="F2" s="15" t="s">
        <v>95</v>
      </c>
      <c r="G2" s="15" t="s">
        <v>96</v>
      </c>
      <c r="H2" s="15" t="s">
        <v>97</v>
      </c>
      <c r="I2" s="16" t="s">
        <v>98</v>
      </c>
      <c r="J2" s="16" t="s">
        <v>99</v>
      </c>
      <c r="K2" s="16" t="s">
        <v>100</v>
      </c>
      <c r="L2" s="15" t="s">
        <v>101</v>
      </c>
      <c r="M2" s="16" t="s">
        <v>102</v>
      </c>
      <c r="N2" s="15" t="s">
        <v>103</v>
      </c>
      <c r="O2" s="15" t="s">
        <v>104</v>
      </c>
      <c r="P2" s="17" t="s">
        <v>105</v>
      </c>
      <c r="Q2" s="17" t="s">
        <v>106</v>
      </c>
      <c r="R2" s="17" t="s">
        <v>143</v>
      </c>
      <c r="S2" s="17" t="s">
        <v>82</v>
      </c>
      <c r="T2" s="17" t="s">
        <v>280</v>
      </c>
      <c r="U2" s="17" t="s">
        <v>281</v>
      </c>
      <c r="V2" s="17" t="s">
        <v>282</v>
      </c>
      <c r="W2" s="16" t="s">
        <v>85</v>
      </c>
      <c r="X2" s="16" t="s">
        <v>86</v>
      </c>
      <c r="Y2" s="16" t="s">
        <v>87</v>
      </c>
      <c r="Z2" s="16" t="s">
        <v>88</v>
      </c>
      <c r="AA2" s="16" t="s">
        <v>279</v>
      </c>
      <c r="AB2" s="18" t="s">
        <v>7</v>
      </c>
      <c r="AC2" s="19" t="s">
        <v>107</v>
      </c>
      <c r="AD2" s="19" t="s">
        <v>108</v>
      </c>
      <c r="AE2" s="19" t="s">
        <v>122</v>
      </c>
      <c r="AF2" s="19" t="s">
        <v>109</v>
      </c>
      <c r="AG2" s="20" t="s">
        <v>110</v>
      </c>
      <c r="AH2" s="19" t="s">
        <v>111</v>
      </c>
      <c r="AI2" s="19" t="s">
        <v>112</v>
      </c>
      <c r="AJ2" s="19" t="s">
        <v>123</v>
      </c>
      <c r="AK2" s="19" t="s">
        <v>113</v>
      </c>
      <c r="AL2" s="20" t="s">
        <v>114</v>
      </c>
      <c r="AM2" s="19" t="s">
        <v>111</v>
      </c>
      <c r="AN2" s="19" t="s">
        <v>112</v>
      </c>
      <c r="AO2" s="19" t="s">
        <v>123</v>
      </c>
      <c r="AP2" s="19" t="s">
        <v>113</v>
      </c>
      <c r="AQ2" s="20" t="s">
        <v>124</v>
      </c>
      <c r="AR2" s="21" t="s">
        <v>115</v>
      </c>
      <c r="AS2" s="21" t="s">
        <v>116</v>
      </c>
      <c r="AT2" s="22" t="s">
        <v>117</v>
      </c>
      <c r="AU2" s="22" t="s">
        <v>118</v>
      </c>
      <c r="AV2" s="22" t="s">
        <v>119</v>
      </c>
      <c r="AW2" s="22" t="s">
        <v>120</v>
      </c>
      <c r="AX2" s="23" t="s">
        <v>121</v>
      </c>
      <c r="AY2" s="78" t="s">
        <v>126</v>
      </c>
      <c r="AZ2" s="78" t="s">
        <v>125</v>
      </c>
      <c r="BA2" s="78" t="s">
        <v>150</v>
      </c>
      <c r="BB2" s="24" t="s">
        <v>127</v>
      </c>
      <c r="BC2" s="24" t="s">
        <v>128</v>
      </c>
      <c r="BD2" s="18" t="s">
        <v>7</v>
      </c>
      <c r="BE2" s="23" t="s">
        <v>315</v>
      </c>
      <c r="BF2" s="1" t="s">
        <v>129</v>
      </c>
      <c r="BG2" s="1" t="s">
        <v>130</v>
      </c>
      <c r="BH2" s="21" t="s">
        <v>131</v>
      </c>
      <c r="BI2" s="1" t="s">
        <v>132</v>
      </c>
      <c r="BJ2" s="1" t="s">
        <v>133</v>
      </c>
      <c r="BK2" s="21" t="s">
        <v>136</v>
      </c>
      <c r="BL2" s="1" t="s">
        <v>134</v>
      </c>
      <c r="BM2" s="1" t="s">
        <v>135</v>
      </c>
      <c r="BN2" s="23" t="s">
        <v>137</v>
      </c>
      <c r="BO2" s="22" t="s">
        <v>8</v>
      </c>
      <c r="BP2" s="22" t="s">
        <v>9</v>
      </c>
      <c r="BQ2" s="21" t="s">
        <v>138</v>
      </c>
      <c r="BR2" s="22" t="s">
        <v>139</v>
      </c>
      <c r="BS2" s="22" t="s">
        <v>140</v>
      </c>
      <c r="BT2" s="22" t="s">
        <v>278</v>
      </c>
      <c r="BU2" s="24" t="s">
        <v>141</v>
      </c>
      <c r="BV2" s="24" t="s">
        <v>10</v>
      </c>
      <c r="BW2" s="24" t="s">
        <v>142</v>
      </c>
      <c r="BX2" s="18" t="s">
        <v>7</v>
      </c>
      <c r="BY2" s="17" t="s">
        <v>11</v>
      </c>
      <c r="BZ2" s="79" t="s">
        <v>12</v>
      </c>
      <c r="CA2" s="79" t="s">
        <v>251</v>
      </c>
      <c r="CB2" s="79" t="s">
        <v>14</v>
      </c>
      <c r="CC2" s="79" t="s">
        <v>17</v>
      </c>
      <c r="CD2" s="79" t="s">
        <v>148</v>
      </c>
      <c r="CE2" s="79" t="s">
        <v>149</v>
      </c>
      <c r="CF2" s="79" t="s">
        <v>13</v>
      </c>
      <c r="CG2" s="79" t="s">
        <v>15</v>
      </c>
      <c r="CH2" s="79" t="s">
        <v>146</v>
      </c>
      <c r="CI2" s="79" t="s">
        <v>16</v>
      </c>
      <c r="CJ2" s="79" t="s">
        <v>18</v>
      </c>
      <c r="CK2" s="79" t="s">
        <v>147</v>
      </c>
      <c r="CL2" s="1" t="s">
        <v>19</v>
      </c>
      <c r="CM2" s="1" t="s">
        <v>253</v>
      </c>
      <c r="CN2" s="144" t="s">
        <v>254</v>
      </c>
      <c r="CO2" s="144" t="s">
        <v>255</v>
      </c>
      <c r="CP2" s="61" t="s">
        <v>71</v>
      </c>
      <c r="CQ2" s="61" t="s">
        <v>72</v>
      </c>
      <c r="CR2" s="68" t="s">
        <v>154</v>
      </c>
      <c r="CS2" s="284" t="s">
        <v>211</v>
      </c>
      <c r="CT2" s="284" t="s">
        <v>212</v>
      </c>
      <c r="CU2" s="284" t="s">
        <v>207</v>
      </c>
      <c r="CV2" s="284" t="s">
        <v>213</v>
      </c>
      <c r="CW2" s="284" t="s">
        <v>214</v>
      </c>
      <c r="CX2" s="284" t="s">
        <v>208</v>
      </c>
      <c r="CY2" s="284" t="s">
        <v>215</v>
      </c>
      <c r="CZ2" s="284" t="s">
        <v>216</v>
      </c>
      <c r="DA2" s="284" t="s">
        <v>209</v>
      </c>
      <c r="DB2" s="284" t="s">
        <v>217</v>
      </c>
      <c r="DC2" s="284" t="s">
        <v>218</v>
      </c>
      <c r="DD2" s="284" t="s">
        <v>210</v>
      </c>
      <c r="DE2" s="285" t="s">
        <v>219</v>
      </c>
      <c r="DF2" s="285" t="s">
        <v>220</v>
      </c>
      <c r="DG2" s="286" t="s">
        <v>157</v>
      </c>
      <c r="DH2" s="287" t="s">
        <v>221</v>
      </c>
      <c r="DI2" s="287" t="s">
        <v>222</v>
      </c>
      <c r="DJ2" s="287" t="s">
        <v>235</v>
      </c>
      <c r="DK2" s="287" t="s">
        <v>223</v>
      </c>
      <c r="DL2" s="287" t="s">
        <v>224</v>
      </c>
      <c r="DM2" s="287" t="s">
        <v>236</v>
      </c>
      <c r="DN2" s="287" t="s">
        <v>225</v>
      </c>
      <c r="DO2" s="287" t="s">
        <v>226</v>
      </c>
      <c r="DP2" s="287" t="s">
        <v>237</v>
      </c>
      <c r="DQ2" s="287" t="s">
        <v>227</v>
      </c>
      <c r="DR2" s="287" t="s">
        <v>228</v>
      </c>
      <c r="DS2" s="287" t="s">
        <v>249</v>
      </c>
      <c r="DT2" s="288" t="s">
        <v>229</v>
      </c>
      <c r="DU2" s="288" t="s">
        <v>230</v>
      </c>
      <c r="DV2" s="289" t="s">
        <v>238</v>
      </c>
      <c r="DW2" s="290" t="s">
        <v>231</v>
      </c>
      <c r="DX2" s="290" t="s">
        <v>232</v>
      </c>
      <c r="DY2" s="290" t="s">
        <v>239</v>
      </c>
      <c r="DZ2" s="290" t="s">
        <v>233</v>
      </c>
      <c r="EA2" s="290" t="s">
        <v>234</v>
      </c>
      <c r="EB2" s="290" t="s">
        <v>240</v>
      </c>
      <c r="EC2" s="290" t="s">
        <v>241</v>
      </c>
      <c r="ED2" s="290" t="s">
        <v>242</v>
      </c>
      <c r="EE2" s="290" t="s">
        <v>243</v>
      </c>
      <c r="EF2" s="290" t="s">
        <v>244</v>
      </c>
      <c r="EG2" s="290" t="s">
        <v>245</v>
      </c>
      <c r="EH2" s="290" t="s">
        <v>250</v>
      </c>
      <c r="EI2" s="291" t="s">
        <v>246</v>
      </c>
      <c r="EJ2" s="291" t="s">
        <v>247</v>
      </c>
      <c r="EK2" s="292" t="s">
        <v>248</v>
      </c>
      <c r="EL2" s="342" t="s">
        <v>411</v>
      </c>
      <c r="EM2" s="342" t="s">
        <v>412</v>
      </c>
      <c r="EN2" s="342" t="s">
        <v>413</v>
      </c>
      <c r="EO2" s="222" t="s">
        <v>291</v>
      </c>
      <c r="EP2" s="222" t="s">
        <v>292</v>
      </c>
      <c r="EQ2" s="222" t="s">
        <v>293</v>
      </c>
      <c r="ER2" s="222" t="s">
        <v>294</v>
      </c>
      <c r="ES2" s="223" t="s">
        <v>299</v>
      </c>
      <c r="ET2" s="223" t="s">
        <v>300</v>
      </c>
      <c r="EU2" s="223" t="s">
        <v>301</v>
      </c>
      <c r="EV2" s="223" t="s">
        <v>302</v>
      </c>
      <c r="EW2" s="224" t="s">
        <v>295</v>
      </c>
      <c r="EX2" s="224" t="s">
        <v>296</v>
      </c>
      <c r="EY2" s="224" t="s">
        <v>297</v>
      </c>
      <c r="EZ2" s="224" t="s">
        <v>298</v>
      </c>
    </row>
    <row r="3" spans="1:164" ht="26.25" customHeight="1" x14ac:dyDescent="0.3">
      <c r="A3" s="24" t="s">
        <v>20</v>
      </c>
      <c r="B3" s="24" t="s">
        <v>21</v>
      </c>
      <c r="C3" s="1">
        <v>2007</v>
      </c>
      <c r="D3" s="25">
        <v>698</v>
      </c>
      <c r="E3" s="25">
        <v>64</v>
      </c>
      <c r="F3" s="25">
        <v>0</v>
      </c>
      <c r="G3" s="25">
        <f t="shared" ref="G3:G102" si="0">D3/6+E3+F3</f>
        <v>180.33333333333331</v>
      </c>
      <c r="H3" s="25">
        <f t="shared" ref="H3:H102" si="1">D3+E3*6+F3*6</f>
        <v>1082</v>
      </c>
      <c r="I3" s="25">
        <v>0</v>
      </c>
      <c r="J3" s="25">
        <v>32</v>
      </c>
      <c r="K3" s="25">
        <v>0</v>
      </c>
      <c r="L3" s="25">
        <f t="shared" ref="L3:L100" si="2">I3/6+J3+K3</f>
        <v>32</v>
      </c>
      <c r="M3" s="25">
        <f t="shared" ref="M3:M100" si="3">I3+J3*6+K3*6</f>
        <v>192</v>
      </c>
      <c r="N3" s="25">
        <f t="shared" ref="N3:O24" si="4">G3+L3</f>
        <v>212.33333333333331</v>
      </c>
      <c r="O3" s="25">
        <f t="shared" si="4"/>
        <v>1274</v>
      </c>
      <c r="P3" s="26">
        <f t="shared" ref="P3:P100" si="5">+H3/O3</f>
        <v>0.84929356357927788</v>
      </c>
      <c r="Q3" s="26">
        <f t="shared" ref="Q3:Q8" si="6">D3/H3</f>
        <v>0.64510166358595189</v>
      </c>
      <c r="R3" s="26">
        <f>E3/G3</f>
        <v>0.35489833641404811</v>
      </c>
      <c r="S3" s="26">
        <f>F3/G3</f>
        <v>0</v>
      </c>
      <c r="T3" s="207">
        <v>254</v>
      </c>
      <c r="U3" s="207">
        <v>16</v>
      </c>
      <c r="V3" s="207">
        <v>2196</v>
      </c>
      <c r="W3" s="25">
        <f t="shared" ref="W3:W10" si="7">+T3*6+U3*6+V3</f>
        <v>3816</v>
      </c>
      <c r="X3" s="25"/>
      <c r="Y3" s="25">
        <f>+T3+U3+V3/6</f>
        <v>636</v>
      </c>
      <c r="Z3" s="25"/>
      <c r="AA3" s="25"/>
      <c r="AB3" s="27"/>
      <c r="AC3" s="28">
        <v>464</v>
      </c>
      <c r="AD3" s="28">
        <v>460</v>
      </c>
      <c r="AE3" s="28">
        <v>4</v>
      </c>
      <c r="AF3" s="28">
        <v>0</v>
      </c>
      <c r="AG3" s="29">
        <f>SUM(AC3:AF3)</f>
        <v>928</v>
      </c>
      <c r="AH3" s="28">
        <v>33</v>
      </c>
      <c r="AI3" s="28">
        <v>8</v>
      </c>
      <c r="AJ3" s="28">
        <v>0</v>
      </c>
      <c r="AK3" s="28">
        <v>0</v>
      </c>
      <c r="AL3" s="29">
        <f>SUM(AH3:AK3)</f>
        <v>41</v>
      </c>
      <c r="AM3" s="28">
        <v>0</v>
      </c>
      <c r="AN3" s="28">
        <v>0</v>
      </c>
      <c r="AO3" s="28">
        <v>0</v>
      </c>
      <c r="AP3" s="28">
        <v>0</v>
      </c>
      <c r="AQ3" s="29">
        <f t="shared" ref="AQ3:AQ13" si="8">SUM(AM3:AP3)</f>
        <v>0</v>
      </c>
      <c r="AR3" s="29">
        <f t="shared" ref="AR3:AR102" si="9">(AG3)+(AL3*6)+AQ3*6</f>
        <v>1174</v>
      </c>
      <c r="AS3" s="29">
        <f t="shared" ref="AS3:AS102" si="10">AG3/6+AL3+AQ3</f>
        <v>195.66666666666666</v>
      </c>
      <c r="AT3" s="30">
        <f>-500+608</f>
        <v>108</v>
      </c>
      <c r="AU3" s="30">
        <f>-604+613</f>
        <v>9</v>
      </c>
      <c r="AV3" s="30">
        <v>575</v>
      </c>
      <c r="AW3" s="30">
        <v>2623</v>
      </c>
      <c r="AX3" s="31">
        <f t="shared" ref="AX3:AX37" si="11">SUM(AT3:AW3)</f>
        <v>3315</v>
      </c>
      <c r="AY3" s="25"/>
      <c r="AZ3" s="25"/>
      <c r="BA3" s="25"/>
      <c r="BB3" s="31"/>
      <c r="BC3" s="31"/>
      <c r="BD3" s="27" t="s">
        <v>22</v>
      </c>
      <c r="BE3" s="32"/>
      <c r="BF3" s="33"/>
      <c r="BG3" s="34"/>
      <c r="BH3" s="32"/>
      <c r="BI3" s="33"/>
      <c r="BJ3" s="34"/>
      <c r="BK3" s="32"/>
      <c r="BL3" s="33"/>
      <c r="BM3" s="34"/>
      <c r="BN3" s="32"/>
      <c r="BO3" s="33"/>
      <c r="BP3" s="34"/>
      <c r="BQ3" s="32"/>
      <c r="BR3" s="34">
        <v>0</v>
      </c>
      <c r="BS3" s="34">
        <v>0</v>
      </c>
      <c r="BT3" s="34"/>
      <c r="BU3" s="35"/>
      <c r="BV3" s="31"/>
      <c r="BW3" s="31"/>
      <c r="BX3" s="27"/>
      <c r="BY3" s="88"/>
      <c r="BZ3" s="36"/>
      <c r="CA3" s="36"/>
      <c r="CB3" s="36"/>
      <c r="CC3" s="36"/>
      <c r="CD3" s="36"/>
      <c r="CE3" s="36"/>
      <c r="CF3" s="36"/>
      <c r="CG3" s="36"/>
      <c r="CH3" s="36"/>
      <c r="CI3" s="36"/>
      <c r="CJ3" s="36"/>
      <c r="CK3" s="36"/>
      <c r="CL3" s="37">
        <v>4</v>
      </c>
      <c r="CM3" s="37"/>
      <c r="CN3" s="37"/>
      <c r="CO3" s="37"/>
      <c r="CP3" s="327"/>
      <c r="CQ3" s="327"/>
      <c r="CR3" s="324"/>
      <c r="CS3" s="293"/>
      <c r="CT3" s="227"/>
      <c r="CU3" s="227"/>
      <c r="CV3" s="227"/>
      <c r="CW3" s="227"/>
      <c r="CX3" s="227"/>
      <c r="CY3" s="227"/>
      <c r="CZ3" s="227"/>
      <c r="DA3" s="227"/>
      <c r="DB3" s="227"/>
      <c r="DC3" s="227"/>
      <c r="DD3" s="227"/>
      <c r="DE3" s="275"/>
      <c r="DF3" s="275"/>
      <c r="DG3" s="275"/>
      <c r="DH3" s="226"/>
      <c r="DI3" s="226"/>
      <c r="DJ3" s="226"/>
      <c r="DK3" s="226"/>
      <c r="DL3" s="226"/>
      <c r="DM3" s="226"/>
      <c r="DN3" s="226"/>
      <c r="DO3" s="226"/>
      <c r="DP3" s="226"/>
      <c r="DQ3" s="226"/>
      <c r="DR3" s="226"/>
      <c r="DS3" s="226"/>
      <c r="DT3" s="278"/>
      <c r="DU3" s="278"/>
      <c r="DV3" s="278"/>
      <c r="DW3" s="280"/>
      <c r="DX3" s="280"/>
      <c r="DY3" s="280"/>
      <c r="DZ3" s="280"/>
      <c r="EA3" s="280"/>
      <c r="EB3" s="280"/>
      <c r="EC3" s="280"/>
      <c r="ED3" s="280"/>
      <c r="EE3" s="280"/>
      <c r="EF3" s="280"/>
      <c r="EG3" s="280"/>
      <c r="EH3" s="280"/>
      <c r="EI3" s="283"/>
      <c r="EJ3" s="283"/>
      <c r="EK3" s="294"/>
      <c r="EL3" s="343">
        <v>72.34</v>
      </c>
      <c r="EM3" s="343">
        <v>6.97</v>
      </c>
      <c r="EN3" s="343">
        <v>12.91</v>
      </c>
      <c r="EO3" s="116"/>
      <c r="EP3" s="116"/>
      <c r="EQ3" s="116"/>
      <c r="ER3" s="116"/>
      <c r="ES3" s="116"/>
      <c r="ET3" s="116"/>
      <c r="EU3" s="116"/>
      <c r="EV3" s="116"/>
      <c r="EW3" s="116"/>
      <c r="EX3" s="116"/>
      <c r="EY3" s="116"/>
      <c r="EZ3" s="116"/>
    </row>
    <row r="4" spans="1:164" ht="26.25" customHeight="1" x14ac:dyDescent="0.3">
      <c r="A4" s="24" t="s">
        <v>20</v>
      </c>
      <c r="B4" s="24" t="s">
        <v>21</v>
      </c>
      <c r="C4" s="1">
        <v>2008</v>
      </c>
      <c r="D4" s="25">
        <v>750</v>
      </c>
      <c r="E4" s="25">
        <v>40</v>
      </c>
      <c r="F4" s="25">
        <v>14</v>
      </c>
      <c r="G4" s="25">
        <f t="shared" si="0"/>
        <v>179</v>
      </c>
      <c r="H4" s="25">
        <f t="shared" si="1"/>
        <v>1074</v>
      </c>
      <c r="I4" s="25">
        <v>0</v>
      </c>
      <c r="J4" s="25">
        <v>26</v>
      </c>
      <c r="K4" s="25">
        <v>0</v>
      </c>
      <c r="L4" s="25">
        <f t="shared" si="2"/>
        <v>26</v>
      </c>
      <c r="M4" s="25">
        <f t="shared" si="3"/>
        <v>156</v>
      </c>
      <c r="N4" s="25">
        <f t="shared" si="4"/>
        <v>205</v>
      </c>
      <c r="O4" s="25">
        <f t="shared" si="4"/>
        <v>1230</v>
      </c>
      <c r="P4" s="26">
        <f t="shared" si="5"/>
        <v>0.87317073170731707</v>
      </c>
      <c r="Q4" s="26">
        <f t="shared" si="6"/>
        <v>0.6983240223463687</v>
      </c>
      <c r="R4" s="26">
        <f t="shared" ref="R4:R93" si="12">E4/G4</f>
        <v>0.22346368715083798</v>
      </c>
      <c r="S4" s="26">
        <f t="shared" ref="S4:S93" si="13">F4/G4</f>
        <v>7.8212290502793297E-2</v>
      </c>
      <c r="T4" s="207">
        <v>202</v>
      </c>
      <c r="U4" s="207">
        <v>55</v>
      </c>
      <c r="V4" s="207">
        <v>1988</v>
      </c>
      <c r="W4" s="25">
        <f t="shared" si="7"/>
        <v>3530</v>
      </c>
      <c r="X4" s="25">
        <f t="shared" ref="X4:X12" si="14">W4-W3</f>
        <v>-286</v>
      </c>
      <c r="Y4" s="25">
        <f t="shared" ref="Y4:Y12" si="15">+T4+U4+V4/6</f>
        <v>588.33333333333326</v>
      </c>
      <c r="Z4" s="25">
        <f t="shared" ref="Z4:Z11" si="16">Y4-Y3</f>
        <v>-47.666666666666742</v>
      </c>
      <c r="AA4" s="204">
        <f>+Z4/Y3</f>
        <v>-7.4947589098532608E-2</v>
      </c>
      <c r="AB4" s="27"/>
      <c r="AC4" s="28">
        <v>199</v>
      </c>
      <c r="AD4" s="28">
        <v>336</v>
      </c>
      <c r="AE4" s="28">
        <v>0</v>
      </c>
      <c r="AF4" s="28">
        <v>0</v>
      </c>
      <c r="AG4" s="29">
        <f t="shared" ref="AG4:AG154" si="17">SUM(AC4:AF4)</f>
        <v>535</v>
      </c>
      <c r="AH4" s="28">
        <v>-17</v>
      </c>
      <c r="AI4" s="28">
        <v>36</v>
      </c>
      <c r="AJ4" s="28">
        <v>0</v>
      </c>
      <c r="AK4" s="28">
        <v>0</v>
      </c>
      <c r="AL4" s="29">
        <f>SUM(AH4:AK4)</f>
        <v>19</v>
      </c>
      <c r="AM4" s="28">
        <v>76</v>
      </c>
      <c r="AN4" s="28">
        <v>4</v>
      </c>
      <c r="AO4" s="28">
        <v>0</v>
      </c>
      <c r="AP4" s="28">
        <v>0</v>
      </c>
      <c r="AQ4" s="29">
        <f t="shared" si="8"/>
        <v>80</v>
      </c>
      <c r="AR4" s="29">
        <f t="shared" si="9"/>
        <v>1129</v>
      </c>
      <c r="AS4" s="29">
        <f t="shared" si="10"/>
        <v>188.16666666666669</v>
      </c>
      <c r="AT4" s="30">
        <v>391</v>
      </c>
      <c r="AU4" s="30">
        <v>26</v>
      </c>
      <c r="AV4" s="30">
        <v>622</v>
      </c>
      <c r="AW4" s="30">
        <v>3240</v>
      </c>
      <c r="AX4" s="31">
        <f t="shared" si="11"/>
        <v>4279</v>
      </c>
      <c r="AY4" s="25"/>
      <c r="AZ4" s="25"/>
      <c r="BA4" s="25"/>
      <c r="BB4" s="31"/>
      <c r="BC4" s="31"/>
      <c r="BD4" s="27" t="s">
        <v>23</v>
      </c>
      <c r="BE4" s="32"/>
      <c r="BF4" s="33"/>
      <c r="BG4" s="34"/>
      <c r="BH4" s="32"/>
      <c r="BI4" s="33"/>
      <c r="BJ4" s="34"/>
      <c r="BK4" s="32"/>
      <c r="BL4" s="33"/>
      <c r="BM4" s="34"/>
      <c r="BN4" s="32"/>
      <c r="BO4" s="33"/>
      <c r="BP4" s="34"/>
      <c r="BQ4" s="32"/>
      <c r="BR4" s="57">
        <v>0</v>
      </c>
      <c r="BS4" s="57">
        <v>0</v>
      </c>
      <c r="BT4" s="57"/>
      <c r="BU4" s="35"/>
      <c r="BV4" s="31"/>
      <c r="BW4" s="31"/>
      <c r="BX4" s="27"/>
      <c r="BY4" s="88"/>
      <c r="BZ4" s="38"/>
      <c r="CA4" s="36"/>
      <c r="CB4" s="38"/>
      <c r="CC4" s="36"/>
      <c r="CD4" s="36"/>
      <c r="CE4" s="36"/>
      <c r="CF4" s="89"/>
      <c r="CG4" s="36"/>
      <c r="CH4" s="36"/>
      <c r="CI4" s="36"/>
      <c r="CJ4" s="36"/>
      <c r="CK4" s="36"/>
      <c r="CL4" s="37">
        <v>4</v>
      </c>
      <c r="CM4" s="37"/>
      <c r="CN4" s="38"/>
      <c r="CO4" s="38"/>
      <c r="CP4" s="327"/>
      <c r="CQ4" s="327"/>
      <c r="CR4" s="324"/>
      <c r="CS4" s="271"/>
      <c r="CT4" s="133"/>
      <c r="CU4" s="133"/>
      <c r="CV4" s="133"/>
      <c r="CW4" s="133"/>
      <c r="CX4" s="133"/>
      <c r="CY4" s="133"/>
      <c r="CZ4" s="133"/>
      <c r="DA4" s="133"/>
      <c r="DB4" s="133"/>
      <c r="DC4" s="133"/>
      <c r="DD4" s="133"/>
      <c r="DE4" s="273"/>
      <c r="DF4" s="273"/>
      <c r="DG4" s="273"/>
      <c r="DH4" s="132"/>
      <c r="DI4" s="132"/>
      <c r="DJ4" s="132"/>
      <c r="DK4" s="132"/>
      <c r="DL4" s="132"/>
      <c r="DM4" s="132"/>
      <c r="DN4" s="132"/>
      <c r="DO4" s="132"/>
      <c r="DP4" s="132"/>
      <c r="DQ4" s="132"/>
      <c r="DR4" s="132"/>
      <c r="DS4" s="132"/>
      <c r="DT4" s="276"/>
      <c r="DU4" s="276"/>
      <c r="DV4" s="276"/>
      <c r="DW4" s="279"/>
      <c r="DX4" s="279"/>
      <c r="DY4" s="279"/>
      <c r="DZ4" s="279"/>
      <c r="EA4" s="279"/>
      <c r="EB4" s="279"/>
      <c r="EC4" s="279"/>
      <c r="ED4" s="279"/>
      <c r="EE4" s="279"/>
      <c r="EF4" s="279"/>
      <c r="EG4" s="279"/>
      <c r="EH4" s="279"/>
      <c r="EI4" s="281"/>
      <c r="EJ4" s="281"/>
      <c r="EK4" s="295"/>
      <c r="EL4" s="343">
        <v>99.67</v>
      </c>
      <c r="EM4" s="343">
        <v>8.86</v>
      </c>
      <c r="EN4" s="343">
        <v>15.2</v>
      </c>
      <c r="EO4" s="116"/>
      <c r="EP4" s="116"/>
      <c r="EQ4" s="116"/>
      <c r="ER4" s="116"/>
      <c r="ES4" s="116"/>
      <c r="ET4" s="116"/>
      <c r="EU4" s="116"/>
      <c r="EV4" s="116"/>
      <c r="EW4" s="116"/>
      <c r="EX4" s="116"/>
      <c r="EY4" s="116"/>
      <c r="EZ4" s="116"/>
    </row>
    <row r="5" spans="1:164" ht="26.25" customHeight="1" x14ac:dyDescent="0.3">
      <c r="A5" s="24" t="s">
        <v>20</v>
      </c>
      <c r="B5" s="24" t="s">
        <v>21</v>
      </c>
      <c r="C5" s="1">
        <v>2009</v>
      </c>
      <c r="D5" s="25">
        <v>817</v>
      </c>
      <c r="E5" s="25">
        <v>44</v>
      </c>
      <c r="F5" s="25">
        <v>19</v>
      </c>
      <c r="G5" s="25">
        <f t="shared" si="0"/>
        <v>199.16666666666666</v>
      </c>
      <c r="H5" s="25">
        <f t="shared" si="1"/>
        <v>1195</v>
      </c>
      <c r="I5" s="25">
        <v>0</v>
      </c>
      <c r="J5" s="25">
        <v>25</v>
      </c>
      <c r="K5" s="25">
        <v>0</v>
      </c>
      <c r="L5" s="25">
        <f t="shared" si="2"/>
        <v>25</v>
      </c>
      <c r="M5" s="25">
        <f t="shared" si="3"/>
        <v>150</v>
      </c>
      <c r="N5" s="25">
        <f t="shared" si="4"/>
        <v>224.16666666666666</v>
      </c>
      <c r="O5" s="25">
        <f t="shared" si="4"/>
        <v>1345</v>
      </c>
      <c r="P5" s="26">
        <f t="shared" si="5"/>
        <v>0.88847583643122674</v>
      </c>
      <c r="Q5" s="26">
        <f t="shared" si="6"/>
        <v>0.68368200836820081</v>
      </c>
      <c r="R5" s="26">
        <f t="shared" si="12"/>
        <v>0.22092050209205022</v>
      </c>
      <c r="S5" s="26">
        <f t="shared" si="13"/>
        <v>9.5397489539748956E-2</v>
      </c>
      <c r="T5" s="207">
        <v>200</v>
      </c>
      <c r="U5" s="207">
        <v>61</v>
      </c>
      <c r="V5" s="207">
        <v>1880</v>
      </c>
      <c r="W5" s="25">
        <f t="shared" si="7"/>
        <v>3446</v>
      </c>
      <c r="X5" s="25">
        <f t="shared" si="14"/>
        <v>-84</v>
      </c>
      <c r="Y5" s="25">
        <f t="shared" si="15"/>
        <v>574.33333333333326</v>
      </c>
      <c r="Z5" s="25">
        <f t="shared" si="16"/>
        <v>-14</v>
      </c>
      <c r="AA5" s="204">
        <f>+Z5/Y4</f>
        <v>-2.3796033994334279E-2</v>
      </c>
      <c r="AB5" s="27"/>
      <c r="AC5" s="28">
        <v>228</v>
      </c>
      <c r="AD5" s="28">
        <v>210</v>
      </c>
      <c r="AE5" s="28">
        <v>149</v>
      </c>
      <c r="AF5" s="28">
        <v>0</v>
      </c>
      <c r="AG5" s="29">
        <f t="shared" si="17"/>
        <v>587</v>
      </c>
      <c r="AH5" s="28">
        <v>45</v>
      </c>
      <c r="AI5" s="28">
        <v>13</v>
      </c>
      <c r="AJ5" s="28">
        <v>1</v>
      </c>
      <c r="AK5" s="28">
        <v>0</v>
      </c>
      <c r="AL5" s="29">
        <f>SUM(AH5:AK5)</f>
        <v>59</v>
      </c>
      <c r="AM5" s="28">
        <v>69</v>
      </c>
      <c r="AN5" s="28">
        <v>2</v>
      </c>
      <c r="AO5" s="28">
        <v>6</v>
      </c>
      <c r="AP5" s="28">
        <v>0</v>
      </c>
      <c r="AQ5" s="29">
        <f t="shared" si="8"/>
        <v>77</v>
      </c>
      <c r="AR5" s="29">
        <f t="shared" si="9"/>
        <v>1403</v>
      </c>
      <c r="AS5" s="29">
        <f t="shared" si="10"/>
        <v>233.83333333333331</v>
      </c>
      <c r="AT5" s="30">
        <v>270</v>
      </c>
      <c r="AU5" s="30">
        <v>266</v>
      </c>
      <c r="AV5" s="30">
        <v>743</v>
      </c>
      <c r="AW5" s="30">
        <v>2005</v>
      </c>
      <c r="AX5" s="31">
        <f t="shared" si="11"/>
        <v>3284</v>
      </c>
      <c r="AY5" s="25">
        <f t="shared" ref="AY5:AY11" si="18">SUM(AX3:AX5)</f>
        <v>10878</v>
      </c>
      <c r="AZ5" s="25">
        <f t="shared" ref="AZ5:AZ11" si="19">SUM(AS3:AS5)</f>
        <v>617.66666666666674</v>
      </c>
      <c r="BA5" s="25">
        <f t="shared" ref="BA5:BA11" si="20">SUM(AR3:AR5)</f>
        <v>3706</v>
      </c>
      <c r="BB5" s="31">
        <f t="shared" ref="BB5:BB10" si="21">AY5/AZ5</f>
        <v>17.611440906637881</v>
      </c>
      <c r="BC5" s="31">
        <f t="shared" ref="BC5:BC10" si="22">AY5/BA5</f>
        <v>2.935240151106314</v>
      </c>
      <c r="BD5" s="27" t="s">
        <v>23</v>
      </c>
      <c r="BE5" s="32">
        <f>845+567</f>
        <v>1412</v>
      </c>
      <c r="BF5" s="34"/>
      <c r="BG5" s="34">
        <v>294</v>
      </c>
      <c r="BH5" s="32">
        <f>IF(BG5=0,BF5*$BT5,BG5)</f>
        <v>294</v>
      </c>
      <c r="BI5" s="34">
        <v>194</v>
      </c>
      <c r="BJ5" s="34">
        <v>0</v>
      </c>
      <c r="BK5" s="32">
        <f>IF(BJ5=0,BI5*$BT5,BJ5)</f>
        <v>157.08036350628709</v>
      </c>
      <c r="BL5" s="34">
        <v>0</v>
      </c>
      <c r="BM5" s="34">
        <v>304</v>
      </c>
      <c r="BN5" s="32">
        <f>IF(BM5=0,BL5*$BT5,BM5)</f>
        <v>304</v>
      </c>
      <c r="BO5" s="34">
        <v>732</v>
      </c>
      <c r="BP5" s="34">
        <v>0</v>
      </c>
      <c r="BQ5" s="32">
        <f>IF(BP5=0,BO5*$BT5,BP5)</f>
        <v>592.69497982784617</v>
      </c>
      <c r="BR5" s="34">
        <v>7482</v>
      </c>
      <c r="BS5" s="34">
        <v>8210</v>
      </c>
      <c r="BT5" s="201">
        <f t="shared" ref="BT5:BT11" si="23">+P5*BR5/BS5</f>
        <v>0.80969259539323246</v>
      </c>
      <c r="BU5" s="35">
        <f t="shared" ref="BU5:BU11" si="24">BQ5+BN5+BK5+BH5+BE5</f>
        <v>2759.7753433341331</v>
      </c>
      <c r="BV5" s="31">
        <f t="shared" ref="BV5:BV11" si="25">BU5/G5</f>
        <v>13.856612602514476</v>
      </c>
      <c r="BW5" s="31">
        <f t="shared" ref="BW5:BW11" si="26">BU5/H5</f>
        <v>2.3094354337524128</v>
      </c>
      <c r="BX5" s="27" t="s">
        <v>24</v>
      </c>
      <c r="BY5" s="90">
        <f t="shared" ref="BY5:BY11" si="27">BU5+AX5</f>
        <v>6043.7753433341331</v>
      </c>
      <c r="BZ5" s="38">
        <f t="shared" ref="BZ5:BZ10" si="28">(BY5*0.1)</f>
        <v>604.37753433341334</v>
      </c>
      <c r="CA5" s="140">
        <f t="shared" ref="CA5:CA11" si="29">+BZ5/AX5</f>
        <v>0.18403700801870077</v>
      </c>
      <c r="CB5" s="38">
        <f t="shared" ref="CB5:CB11" si="30">BZ5/G5</f>
        <v>3.0345315531384771</v>
      </c>
      <c r="CC5" s="38">
        <f t="shared" ref="CC5:CC11" si="31">BZ5/H5</f>
        <v>0.50575525885641281</v>
      </c>
      <c r="CD5" s="38">
        <f t="shared" ref="CD5:CE11" si="32">+$AX5/G5</f>
        <v>16.488702928870293</v>
      </c>
      <c r="CE5" s="38">
        <f t="shared" si="32"/>
        <v>2.7481171548117156</v>
      </c>
      <c r="CF5" s="38">
        <f t="shared" ref="CF5:CF11" si="33">BB5+BV5</f>
        <v>31.468053509152355</v>
      </c>
      <c r="CG5" s="38">
        <f t="shared" ref="CG5:CG10" si="34">CB5+CF5</f>
        <v>34.502585062290834</v>
      </c>
      <c r="CH5" s="38">
        <f t="shared" ref="CH5:CH10" si="35">CF5+CD5</f>
        <v>47.956756438022651</v>
      </c>
      <c r="CI5" s="38">
        <f t="shared" ref="CI5:CI11" si="36">+BC5+BW5</f>
        <v>5.2446755848587268</v>
      </c>
      <c r="CJ5" s="38">
        <f t="shared" ref="CJ5:CJ10" si="37">+CI5+CC5</f>
        <v>5.7504308437151392</v>
      </c>
      <c r="CK5" s="38">
        <f t="shared" ref="CK5:CK10" si="38">+CI5+CE5</f>
        <v>7.9927927396704419</v>
      </c>
      <c r="CL5" s="37">
        <v>4</v>
      </c>
      <c r="CM5" s="38">
        <f t="shared" ref="CM5:CM11" si="39">+CF5/10</f>
        <v>3.1468053509152356</v>
      </c>
      <c r="CN5" s="38">
        <f t="shared" ref="CN5:CN11" si="40">+CM5*G5</f>
        <v>626.73873239061777</v>
      </c>
      <c r="CO5" s="145">
        <f t="shared" ref="CO5:CO11" si="41">+CN5/AX5</f>
        <v>0.19084614262808092</v>
      </c>
      <c r="CP5" s="62">
        <v>321</v>
      </c>
      <c r="CQ5" s="327"/>
      <c r="CR5" s="324"/>
      <c r="CS5" s="271"/>
      <c r="CT5" s="133"/>
      <c r="CU5" s="133"/>
      <c r="CV5" s="133"/>
      <c r="CW5" s="133"/>
      <c r="CX5" s="133"/>
      <c r="CY5" s="133"/>
      <c r="CZ5" s="133"/>
      <c r="DA5" s="133"/>
      <c r="DB5" s="133"/>
      <c r="DC5" s="133"/>
      <c r="DD5" s="133"/>
      <c r="DE5" s="273"/>
      <c r="DF5" s="273"/>
      <c r="DG5" s="273"/>
      <c r="DH5" s="132"/>
      <c r="DI5" s="132"/>
      <c r="DJ5" s="132"/>
      <c r="DK5" s="132"/>
      <c r="DL5" s="132"/>
      <c r="DM5" s="132"/>
      <c r="DN5" s="132"/>
      <c r="DO5" s="132"/>
      <c r="DP5" s="132"/>
      <c r="DQ5" s="132"/>
      <c r="DR5" s="132"/>
      <c r="DS5" s="132"/>
      <c r="DT5" s="276"/>
      <c r="DU5" s="276"/>
      <c r="DV5" s="276"/>
      <c r="DW5" s="279"/>
      <c r="DX5" s="279"/>
      <c r="DY5" s="279"/>
      <c r="DZ5" s="279"/>
      <c r="EA5" s="279"/>
      <c r="EB5" s="279"/>
      <c r="EC5" s="279"/>
      <c r="ED5" s="279"/>
      <c r="EE5" s="279"/>
      <c r="EF5" s="279"/>
      <c r="EG5" s="279"/>
      <c r="EH5" s="279"/>
      <c r="EI5" s="281"/>
      <c r="EJ5" s="281"/>
      <c r="EK5" s="295"/>
      <c r="EL5" s="343">
        <v>61.95</v>
      </c>
      <c r="EM5" s="343">
        <v>3.94</v>
      </c>
      <c r="EN5" s="343">
        <v>8.99</v>
      </c>
      <c r="EO5" s="116"/>
      <c r="EP5" s="116"/>
      <c r="EQ5" s="116"/>
      <c r="ER5" s="116"/>
      <c r="ES5" s="116"/>
      <c r="ET5" s="116"/>
      <c r="EU5" s="116"/>
      <c r="EV5" s="116"/>
      <c r="EW5" s="116"/>
      <c r="EX5" s="116"/>
      <c r="EY5" s="116"/>
      <c r="EZ5" s="116"/>
    </row>
    <row r="6" spans="1:164" ht="26.25" customHeight="1" x14ac:dyDescent="0.3">
      <c r="A6" s="24" t="s">
        <v>20</v>
      </c>
      <c r="B6" s="24" t="s">
        <v>21</v>
      </c>
      <c r="C6" s="1">
        <v>2010</v>
      </c>
      <c r="D6" s="25">
        <v>829</v>
      </c>
      <c r="E6" s="25">
        <v>48</v>
      </c>
      <c r="F6" s="25">
        <v>23</v>
      </c>
      <c r="G6" s="25">
        <f t="shared" si="0"/>
        <v>209.16666666666666</v>
      </c>
      <c r="H6" s="25">
        <f t="shared" si="1"/>
        <v>1255</v>
      </c>
      <c r="I6" s="25">
        <v>0</v>
      </c>
      <c r="J6" s="25">
        <v>26</v>
      </c>
      <c r="K6" s="25">
        <v>0</v>
      </c>
      <c r="L6" s="25">
        <f t="shared" si="2"/>
        <v>26</v>
      </c>
      <c r="M6" s="25">
        <f t="shared" si="3"/>
        <v>156</v>
      </c>
      <c r="N6" s="25">
        <f t="shared" si="4"/>
        <v>235.16666666666666</v>
      </c>
      <c r="O6" s="25">
        <f t="shared" si="4"/>
        <v>1411</v>
      </c>
      <c r="P6" s="26">
        <f t="shared" si="5"/>
        <v>0.88944011339475548</v>
      </c>
      <c r="Q6" s="26">
        <f t="shared" si="6"/>
        <v>0.66055776892430274</v>
      </c>
      <c r="R6" s="26">
        <f t="shared" si="12"/>
        <v>0.22948207171314741</v>
      </c>
      <c r="S6" s="26">
        <f t="shared" si="13"/>
        <v>0.10996015936254981</v>
      </c>
      <c r="T6" s="207">
        <v>195</v>
      </c>
      <c r="U6" s="207">
        <v>85</v>
      </c>
      <c r="V6" s="207">
        <v>2135</v>
      </c>
      <c r="W6" s="25">
        <f t="shared" si="7"/>
        <v>3815</v>
      </c>
      <c r="X6" s="25">
        <f t="shared" si="14"/>
        <v>369</v>
      </c>
      <c r="Y6" s="25">
        <f t="shared" si="15"/>
        <v>635.83333333333326</v>
      </c>
      <c r="Z6" s="25">
        <f t="shared" si="16"/>
        <v>61.5</v>
      </c>
      <c r="AA6" s="204">
        <f t="shared" ref="AA6:AA12" si="42">+Z6/Y5</f>
        <v>0.10708067324434128</v>
      </c>
      <c r="AB6" s="27"/>
      <c r="AC6" s="28">
        <v>851</v>
      </c>
      <c r="AD6" s="28">
        <v>363</v>
      </c>
      <c r="AE6" s="28">
        <v>7</v>
      </c>
      <c r="AF6" s="28">
        <v>0</v>
      </c>
      <c r="AG6" s="29">
        <f t="shared" si="17"/>
        <v>1221</v>
      </c>
      <c r="AH6" s="28">
        <v>32</v>
      </c>
      <c r="AI6" s="28">
        <v>13</v>
      </c>
      <c r="AJ6" s="28">
        <v>0</v>
      </c>
      <c r="AK6" s="28">
        <v>0</v>
      </c>
      <c r="AL6" s="29">
        <f>SUM(AH6:AK6)</f>
        <v>45</v>
      </c>
      <c r="AM6" s="28">
        <v>60</v>
      </c>
      <c r="AN6" s="28">
        <v>10</v>
      </c>
      <c r="AO6" s="28">
        <v>0</v>
      </c>
      <c r="AP6" s="28">
        <v>0</v>
      </c>
      <c r="AQ6" s="29">
        <f t="shared" si="8"/>
        <v>70</v>
      </c>
      <c r="AR6" s="29">
        <f t="shared" si="9"/>
        <v>1911</v>
      </c>
      <c r="AS6" s="29">
        <f t="shared" si="10"/>
        <v>318.5</v>
      </c>
      <c r="AT6" s="30">
        <v>428</v>
      </c>
      <c r="AU6" s="30">
        <v>22</v>
      </c>
      <c r="AV6" s="30">
        <v>693</v>
      </c>
      <c r="AW6" s="30">
        <v>2368</v>
      </c>
      <c r="AX6" s="31">
        <f t="shared" si="11"/>
        <v>3511</v>
      </c>
      <c r="AY6" s="25">
        <f t="shared" si="18"/>
        <v>11074</v>
      </c>
      <c r="AZ6" s="25">
        <f t="shared" si="19"/>
        <v>740.5</v>
      </c>
      <c r="BA6" s="25">
        <f t="shared" si="20"/>
        <v>4443</v>
      </c>
      <c r="BB6" s="31">
        <f t="shared" si="21"/>
        <v>14.954760297096556</v>
      </c>
      <c r="BC6" s="31">
        <f t="shared" si="22"/>
        <v>2.4924600495160929</v>
      </c>
      <c r="BD6" s="27" t="s">
        <v>23</v>
      </c>
      <c r="BE6" s="32">
        <f>744+792</f>
        <v>1536</v>
      </c>
      <c r="BF6" s="34"/>
      <c r="BG6" s="34">
        <v>274</v>
      </c>
      <c r="BH6" s="32">
        <f t="shared" ref="BH6:BH11" si="43">IF(BG6=0,BF6*$BT6,BG6)</f>
        <v>274</v>
      </c>
      <c r="BI6" s="34">
        <v>307</v>
      </c>
      <c r="BJ6" s="34">
        <v>0</v>
      </c>
      <c r="BK6" s="32">
        <f t="shared" ref="BK6:BK11" si="44">IF(BJ6=0,BI6*$BT6,BJ6)</f>
        <v>252.07882965829268</v>
      </c>
      <c r="BL6" s="34">
        <v>0</v>
      </c>
      <c r="BM6" s="34">
        <v>456</v>
      </c>
      <c r="BN6" s="32">
        <f t="shared" ref="BN6:BN11" si="45">IF(BM6=0,BL6*$BT6,BM6)</f>
        <v>456</v>
      </c>
      <c r="BO6" s="34">
        <v>856</v>
      </c>
      <c r="BP6" s="34">
        <v>0</v>
      </c>
      <c r="BQ6" s="32">
        <f t="shared" ref="BQ6:BQ11" si="46">IF(BP6=0,BO6*$BT6,BP6)</f>
        <v>702.86474979641218</v>
      </c>
      <c r="BR6" s="34">
        <v>10009</v>
      </c>
      <c r="BS6" s="34">
        <v>10842</v>
      </c>
      <c r="BT6" s="201">
        <f t="shared" si="23"/>
        <v>0.82110367966870579</v>
      </c>
      <c r="BU6" s="35">
        <f t="shared" si="24"/>
        <v>3220.9435794547048</v>
      </c>
      <c r="BV6" s="31">
        <f t="shared" si="25"/>
        <v>15.398933447592215</v>
      </c>
      <c r="BW6" s="31">
        <f t="shared" si="26"/>
        <v>2.5664889079320359</v>
      </c>
      <c r="BX6" s="27" t="s">
        <v>25</v>
      </c>
      <c r="BY6" s="90">
        <f t="shared" si="27"/>
        <v>6731.9435794547044</v>
      </c>
      <c r="BZ6" s="38">
        <f t="shared" si="28"/>
        <v>673.19435794547053</v>
      </c>
      <c r="CA6" s="140">
        <f t="shared" si="29"/>
        <v>0.19173863797934221</v>
      </c>
      <c r="CB6" s="38">
        <f t="shared" si="30"/>
        <v>3.2184590818110146</v>
      </c>
      <c r="CC6" s="38">
        <f t="shared" si="31"/>
        <v>0.53640984696850247</v>
      </c>
      <c r="CD6" s="38">
        <f t="shared" si="32"/>
        <v>16.785657370517928</v>
      </c>
      <c r="CE6" s="38">
        <f t="shared" si="32"/>
        <v>2.7976095617529881</v>
      </c>
      <c r="CF6" s="38">
        <f t="shared" si="33"/>
        <v>30.353693744688769</v>
      </c>
      <c r="CG6" s="38">
        <f t="shared" si="34"/>
        <v>33.572152826499781</v>
      </c>
      <c r="CH6" s="38">
        <f t="shared" si="35"/>
        <v>47.139351115206694</v>
      </c>
      <c r="CI6" s="38">
        <f t="shared" si="36"/>
        <v>5.0589489574481288</v>
      </c>
      <c r="CJ6" s="38">
        <f t="shared" si="37"/>
        <v>5.5953588044166311</v>
      </c>
      <c r="CK6" s="38">
        <f t="shared" si="38"/>
        <v>7.8565585192011174</v>
      </c>
      <c r="CL6" s="37">
        <v>4</v>
      </c>
      <c r="CM6" s="38">
        <f t="shared" si="39"/>
        <v>3.035369374468877</v>
      </c>
      <c r="CN6" s="38">
        <f t="shared" si="40"/>
        <v>634.89809415974003</v>
      </c>
      <c r="CO6" s="145">
        <f t="shared" si="41"/>
        <v>0.18083112906856735</v>
      </c>
      <c r="CP6" s="63">
        <v>364</v>
      </c>
      <c r="CQ6" s="327"/>
      <c r="CR6" s="324"/>
      <c r="CS6" s="271"/>
      <c r="CT6" s="133"/>
      <c r="CU6" s="133"/>
      <c r="CV6" s="133"/>
      <c r="CW6" s="133"/>
      <c r="CX6" s="133"/>
      <c r="CY6" s="133"/>
      <c r="CZ6" s="133"/>
      <c r="DA6" s="133"/>
      <c r="DB6" s="133"/>
      <c r="DC6" s="133"/>
      <c r="DD6" s="133"/>
      <c r="DE6" s="273"/>
      <c r="DF6" s="273"/>
      <c r="DG6" s="273"/>
      <c r="DH6" s="132"/>
      <c r="DI6" s="132"/>
      <c r="DJ6" s="132"/>
      <c r="DK6" s="132"/>
      <c r="DL6" s="132"/>
      <c r="DM6" s="132"/>
      <c r="DN6" s="132"/>
      <c r="DO6" s="132"/>
      <c r="DP6" s="132"/>
      <c r="DQ6" s="132"/>
      <c r="DR6" s="132"/>
      <c r="DS6" s="132"/>
      <c r="DT6" s="276"/>
      <c r="DU6" s="276"/>
      <c r="DV6" s="276"/>
      <c r="DW6" s="279"/>
      <c r="DX6" s="279"/>
      <c r="DY6" s="279"/>
      <c r="DZ6" s="279"/>
      <c r="EA6" s="279"/>
      <c r="EB6" s="279"/>
      <c r="EC6" s="279"/>
      <c r="ED6" s="279"/>
      <c r="EE6" s="279"/>
      <c r="EF6" s="279"/>
      <c r="EG6" s="279"/>
      <c r="EH6" s="279"/>
      <c r="EI6" s="281"/>
      <c r="EJ6" s="281"/>
      <c r="EK6" s="295"/>
      <c r="EL6" s="343">
        <v>79.48</v>
      </c>
      <c r="EM6" s="343">
        <v>4.37</v>
      </c>
      <c r="EN6" s="343">
        <v>11.83</v>
      </c>
      <c r="EO6" s="116"/>
      <c r="EP6" s="116"/>
      <c r="EQ6" s="116"/>
      <c r="ER6" s="116"/>
      <c r="ES6" s="116"/>
      <c r="ET6" s="116"/>
      <c r="EU6" s="116"/>
      <c r="EV6" s="116"/>
      <c r="EW6" s="116"/>
      <c r="EX6" s="116"/>
      <c r="EY6" s="116"/>
      <c r="EZ6" s="116"/>
    </row>
    <row r="7" spans="1:164" ht="26.25" customHeight="1" x14ac:dyDescent="0.3">
      <c r="A7" s="24" t="s">
        <v>20</v>
      </c>
      <c r="B7" s="24" t="s">
        <v>21</v>
      </c>
      <c r="C7" s="1">
        <v>2011</v>
      </c>
      <c r="D7" s="25">
        <v>852</v>
      </c>
      <c r="E7" s="25">
        <v>48</v>
      </c>
      <c r="F7" s="25">
        <v>26</v>
      </c>
      <c r="G7" s="25">
        <f t="shared" si="0"/>
        <v>216</v>
      </c>
      <c r="H7" s="25">
        <f t="shared" si="1"/>
        <v>1296</v>
      </c>
      <c r="I7" s="25">
        <v>0</v>
      </c>
      <c r="J7" s="25">
        <v>30</v>
      </c>
      <c r="K7" s="25">
        <v>0</v>
      </c>
      <c r="L7" s="25">
        <f t="shared" si="2"/>
        <v>30</v>
      </c>
      <c r="M7" s="25">
        <f t="shared" si="3"/>
        <v>180</v>
      </c>
      <c r="N7" s="25">
        <f t="shared" si="4"/>
        <v>246</v>
      </c>
      <c r="O7" s="25">
        <f t="shared" si="4"/>
        <v>1476</v>
      </c>
      <c r="P7" s="26">
        <f t="shared" si="5"/>
        <v>0.87804878048780488</v>
      </c>
      <c r="Q7" s="26">
        <f t="shared" si="6"/>
        <v>0.65740740740740744</v>
      </c>
      <c r="R7" s="26">
        <f t="shared" si="12"/>
        <v>0.22222222222222221</v>
      </c>
      <c r="S7" s="26">
        <f t="shared" si="13"/>
        <v>0.12037037037037036</v>
      </c>
      <c r="T7" s="207">
        <v>184</v>
      </c>
      <c r="U7" s="207">
        <v>94</v>
      </c>
      <c r="V7" s="207">
        <v>2252</v>
      </c>
      <c r="W7" s="25">
        <f t="shared" si="7"/>
        <v>3920</v>
      </c>
      <c r="X7" s="25">
        <f t="shared" si="14"/>
        <v>105</v>
      </c>
      <c r="Y7" s="25">
        <f t="shared" si="15"/>
        <v>653.33333333333326</v>
      </c>
      <c r="Z7" s="25">
        <f t="shared" si="16"/>
        <v>17.5</v>
      </c>
      <c r="AA7" s="204">
        <f t="shared" si="42"/>
        <v>2.7522935779816519E-2</v>
      </c>
      <c r="AB7" s="27"/>
      <c r="AC7" s="28">
        <v>550</v>
      </c>
      <c r="AD7" s="28">
        <v>614</v>
      </c>
      <c r="AE7" s="28">
        <v>0</v>
      </c>
      <c r="AF7" s="28">
        <v>0</v>
      </c>
      <c r="AG7" s="29">
        <f t="shared" ref="AG7:AG13" si="47">SUM(AC7:AF7)</f>
        <v>1164</v>
      </c>
      <c r="AH7" s="28">
        <v>44</v>
      </c>
      <c r="AI7" s="28">
        <v>52</v>
      </c>
      <c r="AJ7" s="28">
        <v>0</v>
      </c>
      <c r="AK7" s="28">
        <v>0</v>
      </c>
      <c r="AL7" s="29">
        <f t="shared" ref="AL7:AL13" si="48">SUM(AH7:AK7)</f>
        <v>96</v>
      </c>
      <c r="AM7" s="28">
        <v>68</v>
      </c>
      <c r="AN7" s="28">
        <v>20</v>
      </c>
      <c r="AO7" s="28">
        <v>0</v>
      </c>
      <c r="AP7" s="28">
        <v>0</v>
      </c>
      <c r="AQ7" s="29">
        <f t="shared" si="8"/>
        <v>88</v>
      </c>
      <c r="AR7" s="29">
        <f t="shared" si="9"/>
        <v>2268</v>
      </c>
      <c r="AS7" s="29">
        <f t="shared" si="10"/>
        <v>378</v>
      </c>
      <c r="AT7" s="30">
        <v>610</v>
      </c>
      <c r="AU7" s="30">
        <v>0</v>
      </c>
      <c r="AV7" s="30">
        <v>666</v>
      </c>
      <c r="AW7" s="30">
        <v>2970</v>
      </c>
      <c r="AX7" s="31">
        <f t="shared" si="11"/>
        <v>4246</v>
      </c>
      <c r="AY7" s="25">
        <f t="shared" si="18"/>
        <v>11041</v>
      </c>
      <c r="AZ7" s="25">
        <f t="shared" si="19"/>
        <v>930.33333333333326</v>
      </c>
      <c r="BA7" s="25">
        <f t="shared" si="20"/>
        <v>5582</v>
      </c>
      <c r="BB7" s="31">
        <f t="shared" si="21"/>
        <v>11.867789322823361</v>
      </c>
      <c r="BC7" s="31">
        <f t="shared" si="22"/>
        <v>1.9779648871372268</v>
      </c>
      <c r="BD7" s="27" t="s">
        <v>23</v>
      </c>
      <c r="BE7" s="32">
        <f>862+867</f>
        <v>1729</v>
      </c>
      <c r="BF7" s="34"/>
      <c r="BG7" s="34">
        <v>322</v>
      </c>
      <c r="BH7" s="32">
        <f t="shared" si="43"/>
        <v>322</v>
      </c>
      <c r="BI7" s="34">
        <v>262</v>
      </c>
      <c r="BJ7" s="34">
        <v>0</v>
      </c>
      <c r="BK7" s="32">
        <f t="shared" si="44"/>
        <v>212.68160558856704</v>
      </c>
      <c r="BL7" s="34">
        <v>0</v>
      </c>
      <c r="BM7" s="34">
        <v>646</v>
      </c>
      <c r="BN7" s="32">
        <f t="shared" si="45"/>
        <v>646</v>
      </c>
      <c r="BO7" s="34">
        <v>986</v>
      </c>
      <c r="BP7" s="34">
        <v>0</v>
      </c>
      <c r="BQ7" s="32">
        <f t="shared" si="46"/>
        <v>800.39718744399659</v>
      </c>
      <c r="BR7" s="34">
        <v>12834</v>
      </c>
      <c r="BS7" s="34">
        <v>13882</v>
      </c>
      <c r="BT7" s="201">
        <f t="shared" si="23"/>
        <v>0.81176185339147722</v>
      </c>
      <c r="BU7" s="35">
        <f t="shared" si="24"/>
        <v>3710.0787930325637</v>
      </c>
      <c r="BV7" s="31">
        <f t="shared" si="25"/>
        <v>17.176290708484093</v>
      </c>
      <c r="BW7" s="31">
        <f t="shared" si="26"/>
        <v>2.8627151180806818</v>
      </c>
      <c r="BX7" s="27"/>
      <c r="BY7" s="90">
        <f t="shared" si="27"/>
        <v>7956.0787930325641</v>
      </c>
      <c r="BZ7" s="38">
        <f t="shared" si="28"/>
        <v>795.60787930325648</v>
      </c>
      <c r="CA7" s="140">
        <f t="shared" si="29"/>
        <v>0.18737820991598128</v>
      </c>
      <c r="CB7" s="38">
        <f t="shared" si="30"/>
        <v>3.6833698115891504</v>
      </c>
      <c r="CC7" s="38">
        <f t="shared" si="31"/>
        <v>0.6138949685981917</v>
      </c>
      <c r="CD7" s="38">
        <f t="shared" si="32"/>
        <v>19.657407407407408</v>
      </c>
      <c r="CE7" s="38">
        <f t="shared" si="32"/>
        <v>3.2762345679012346</v>
      </c>
      <c r="CF7" s="38">
        <f t="shared" si="33"/>
        <v>29.044080031307452</v>
      </c>
      <c r="CG7" s="38">
        <f t="shared" si="34"/>
        <v>32.727449842896604</v>
      </c>
      <c r="CH7" s="38">
        <f t="shared" si="35"/>
        <v>48.701487438714864</v>
      </c>
      <c r="CI7" s="38">
        <f t="shared" si="36"/>
        <v>4.8406800052179086</v>
      </c>
      <c r="CJ7" s="38">
        <f t="shared" si="37"/>
        <v>5.4545749738161007</v>
      </c>
      <c r="CK7" s="38">
        <f t="shared" si="38"/>
        <v>8.1169145731191428</v>
      </c>
      <c r="CL7" s="37">
        <v>4</v>
      </c>
      <c r="CM7" s="38">
        <f t="shared" si="39"/>
        <v>2.9044080031307451</v>
      </c>
      <c r="CN7" s="38">
        <f t="shared" si="40"/>
        <v>627.35212867624091</v>
      </c>
      <c r="CO7" s="145">
        <f t="shared" si="41"/>
        <v>0.14775132564207274</v>
      </c>
      <c r="CP7" s="63">
        <v>343</v>
      </c>
      <c r="CQ7" s="327"/>
      <c r="CR7" s="324">
        <v>15230</v>
      </c>
      <c r="CS7" s="271"/>
      <c r="CT7" s="133"/>
      <c r="CU7" s="133"/>
      <c r="CV7" s="133"/>
      <c r="CW7" s="133"/>
      <c r="CX7" s="133"/>
      <c r="CY7" s="133"/>
      <c r="CZ7" s="133"/>
      <c r="DA7" s="133"/>
      <c r="DB7" s="133"/>
      <c r="DC7" s="133"/>
      <c r="DD7" s="133"/>
      <c r="DE7" s="273"/>
      <c r="DF7" s="273"/>
      <c r="DG7" s="273"/>
      <c r="DH7" s="132"/>
      <c r="DI7" s="132"/>
      <c r="DJ7" s="132"/>
      <c r="DK7" s="132"/>
      <c r="DL7" s="132"/>
      <c r="DM7" s="132"/>
      <c r="DN7" s="132"/>
      <c r="DO7" s="132"/>
      <c r="DP7" s="132"/>
      <c r="DQ7" s="132"/>
      <c r="DR7" s="132"/>
      <c r="DS7" s="132"/>
      <c r="DT7" s="276"/>
      <c r="DU7" s="276"/>
      <c r="DV7" s="276"/>
      <c r="DW7" s="279"/>
      <c r="DX7" s="279"/>
      <c r="DY7" s="279"/>
      <c r="DZ7" s="279"/>
      <c r="EA7" s="279"/>
      <c r="EB7" s="279"/>
      <c r="EC7" s="279"/>
      <c r="ED7" s="279"/>
      <c r="EE7" s="279"/>
      <c r="EF7" s="279"/>
      <c r="EG7" s="279"/>
      <c r="EH7" s="279"/>
      <c r="EI7" s="281"/>
      <c r="EJ7" s="281"/>
      <c r="EK7" s="295"/>
      <c r="EL7" s="343">
        <v>94.88</v>
      </c>
      <c r="EM7" s="343">
        <v>4</v>
      </c>
      <c r="EN7" s="343">
        <v>15.12</v>
      </c>
      <c r="EO7" s="116"/>
      <c r="EP7" s="116"/>
      <c r="EQ7" s="116"/>
      <c r="ER7" s="116"/>
      <c r="ES7" s="116"/>
      <c r="ET7" s="116"/>
      <c r="EU7" s="116"/>
      <c r="EV7" s="116"/>
      <c r="EW7" s="116"/>
      <c r="EX7" s="116"/>
      <c r="EY7" s="116"/>
      <c r="EZ7" s="116"/>
    </row>
    <row r="8" spans="1:164" ht="26.25" customHeight="1" x14ac:dyDescent="0.3">
      <c r="A8" s="39" t="s">
        <v>20</v>
      </c>
      <c r="B8" s="39" t="s">
        <v>21</v>
      </c>
      <c r="C8" s="22">
        <v>2012</v>
      </c>
      <c r="D8" s="25">
        <v>916</v>
      </c>
      <c r="E8" s="25">
        <v>54</v>
      </c>
      <c r="F8" s="25">
        <v>30</v>
      </c>
      <c r="G8" s="25">
        <f t="shared" si="0"/>
        <v>236.66666666666666</v>
      </c>
      <c r="H8" s="25">
        <f t="shared" si="1"/>
        <v>1420</v>
      </c>
      <c r="I8" s="25">
        <v>0</v>
      </c>
      <c r="J8" s="25">
        <v>31</v>
      </c>
      <c r="K8" s="25">
        <v>0</v>
      </c>
      <c r="L8" s="25">
        <f t="shared" si="2"/>
        <v>31</v>
      </c>
      <c r="M8" s="25">
        <f t="shared" si="3"/>
        <v>186</v>
      </c>
      <c r="N8" s="25">
        <f t="shared" si="4"/>
        <v>267.66666666666663</v>
      </c>
      <c r="O8" s="25">
        <f t="shared" si="4"/>
        <v>1606</v>
      </c>
      <c r="P8" s="26">
        <f t="shared" si="5"/>
        <v>0.88418430884184307</v>
      </c>
      <c r="Q8" s="26">
        <f t="shared" si="6"/>
        <v>0.6450704225352113</v>
      </c>
      <c r="R8" s="26">
        <f t="shared" si="12"/>
        <v>0.22816901408450704</v>
      </c>
      <c r="S8" s="26">
        <f t="shared" si="13"/>
        <v>0.12676056338028169</v>
      </c>
      <c r="T8" s="207">
        <v>193</v>
      </c>
      <c r="U8" s="207">
        <v>110</v>
      </c>
      <c r="V8" s="207">
        <v>1884</v>
      </c>
      <c r="W8" s="25">
        <f t="shared" si="7"/>
        <v>3702</v>
      </c>
      <c r="X8" s="25">
        <f t="shared" si="14"/>
        <v>-218</v>
      </c>
      <c r="Y8" s="25">
        <f t="shared" si="15"/>
        <v>617</v>
      </c>
      <c r="Z8" s="25">
        <f t="shared" si="16"/>
        <v>-36.333333333333258</v>
      </c>
      <c r="AA8" s="204">
        <f t="shared" si="42"/>
        <v>-5.5612244897959073E-2</v>
      </c>
      <c r="AB8" s="27"/>
      <c r="AC8" s="28">
        <v>635</v>
      </c>
      <c r="AD8" s="28">
        <v>418</v>
      </c>
      <c r="AE8" s="28">
        <v>26</v>
      </c>
      <c r="AF8" s="28">
        <v>0</v>
      </c>
      <c r="AG8" s="29">
        <f t="shared" si="47"/>
        <v>1079</v>
      </c>
      <c r="AH8" s="28">
        <v>62</v>
      </c>
      <c r="AI8" s="28">
        <v>9</v>
      </c>
      <c r="AJ8" s="28">
        <v>0</v>
      </c>
      <c r="AK8" s="28">
        <v>0</v>
      </c>
      <c r="AL8" s="29">
        <f t="shared" si="48"/>
        <v>71</v>
      </c>
      <c r="AM8" s="28">
        <v>65</v>
      </c>
      <c r="AN8" s="28">
        <v>3</v>
      </c>
      <c r="AO8" s="28">
        <v>0</v>
      </c>
      <c r="AP8" s="28">
        <v>0</v>
      </c>
      <c r="AQ8" s="29">
        <f t="shared" si="8"/>
        <v>68</v>
      </c>
      <c r="AR8" s="29">
        <f t="shared" si="9"/>
        <v>1913</v>
      </c>
      <c r="AS8" s="29">
        <f t="shared" si="10"/>
        <v>318.83333333333337</v>
      </c>
      <c r="AT8" s="30">
        <v>224</v>
      </c>
      <c r="AU8" s="30">
        <v>0</v>
      </c>
      <c r="AV8" s="30">
        <v>1064</v>
      </c>
      <c r="AW8" s="30">
        <v>3592</v>
      </c>
      <c r="AX8" s="31">
        <f t="shared" si="11"/>
        <v>4880</v>
      </c>
      <c r="AY8" s="25">
        <f t="shared" si="18"/>
        <v>12637</v>
      </c>
      <c r="AZ8" s="25">
        <f t="shared" si="19"/>
        <v>1015.3333333333334</v>
      </c>
      <c r="BA8" s="25">
        <f t="shared" si="20"/>
        <v>6092</v>
      </c>
      <c r="BB8" s="31">
        <f t="shared" si="21"/>
        <v>12.446158896913985</v>
      </c>
      <c r="BC8" s="31">
        <f t="shared" si="22"/>
        <v>2.0743598161523309</v>
      </c>
      <c r="BD8" s="27" t="s">
        <v>23</v>
      </c>
      <c r="BE8" s="40">
        <f>786+931</f>
        <v>1717</v>
      </c>
      <c r="BF8" s="34"/>
      <c r="BG8" s="34">
        <v>318</v>
      </c>
      <c r="BH8" s="32">
        <f t="shared" si="43"/>
        <v>318</v>
      </c>
      <c r="BI8" s="34">
        <v>-300</v>
      </c>
      <c r="BJ8" s="34">
        <v>0</v>
      </c>
      <c r="BK8" s="32">
        <f t="shared" si="44"/>
        <v>-247.09585990238566</v>
      </c>
      <c r="BL8" s="34">
        <v>0</v>
      </c>
      <c r="BM8" s="34">
        <v>581</v>
      </c>
      <c r="BN8" s="32">
        <f t="shared" si="45"/>
        <v>581</v>
      </c>
      <c r="BO8" s="34">
        <v>963</v>
      </c>
      <c r="BP8" s="34">
        <v>0</v>
      </c>
      <c r="BQ8" s="32">
        <f t="shared" si="46"/>
        <v>793.177710286658</v>
      </c>
      <c r="BR8" s="34">
        <v>12396</v>
      </c>
      <c r="BS8" s="34">
        <v>13307</v>
      </c>
      <c r="BT8" s="201">
        <f t="shared" si="23"/>
        <v>0.82365286634128554</v>
      </c>
      <c r="BU8" s="35">
        <f t="shared" si="24"/>
        <v>3162.0818503842725</v>
      </c>
      <c r="BV8" s="31">
        <f t="shared" si="25"/>
        <v>13.360909226975799</v>
      </c>
      <c r="BW8" s="31">
        <f t="shared" si="26"/>
        <v>2.2268182044959666</v>
      </c>
      <c r="BX8" s="27"/>
      <c r="BY8" s="90">
        <f t="shared" si="27"/>
        <v>8042.0818503842729</v>
      </c>
      <c r="BZ8" s="38">
        <f t="shared" si="28"/>
        <v>804.20818503842736</v>
      </c>
      <c r="CA8" s="140">
        <f t="shared" si="29"/>
        <v>0.16479675922918594</v>
      </c>
      <c r="CB8" s="38">
        <f t="shared" si="30"/>
        <v>3.398062753683496</v>
      </c>
      <c r="CC8" s="38">
        <f t="shared" si="31"/>
        <v>0.56634379228058263</v>
      </c>
      <c r="CD8" s="38">
        <f t="shared" si="32"/>
        <v>20.619718309859156</v>
      </c>
      <c r="CE8" s="38">
        <f t="shared" si="32"/>
        <v>3.436619718309859</v>
      </c>
      <c r="CF8" s="38">
        <f t="shared" si="33"/>
        <v>25.807068123889785</v>
      </c>
      <c r="CG8" s="38">
        <f t="shared" si="34"/>
        <v>29.205130877573282</v>
      </c>
      <c r="CH8" s="38">
        <f t="shared" si="35"/>
        <v>46.426786433748944</v>
      </c>
      <c r="CI8" s="38">
        <f t="shared" si="36"/>
        <v>4.3011780206482975</v>
      </c>
      <c r="CJ8" s="38">
        <f t="shared" si="37"/>
        <v>4.8675218129288798</v>
      </c>
      <c r="CK8" s="38">
        <f t="shared" si="38"/>
        <v>7.7377977389581565</v>
      </c>
      <c r="CL8" s="37">
        <v>4</v>
      </c>
      <c r="CM8" s="38">
        <f t="shared" si="39"/>
        <v>2.5807068123889785</v>
      </c>
      <c r="CN8" s="38">
        <f t="shared" si="40"/>
        <v>610.76727893205816</v>
      </c>
      <c r="CO8" s="145">
        <f t="shared" si="41"/>
        <v>0.12515722928935619</v>
      </c>
      <c r="CP8" s="63">
        <f>136+392</f>
        <v>528</v>
      </c>
      <c r="CQ8" s="327"/>
      <c r="CR8" s="324">
        <v>13269</v>
      </c>
      <c r="CS8" s="270">
        <v>573</v>
      </c>
      <c r="CT8" s="269">
        <v>220</v>
      </c>
      <c r="CU8" s="133">
        <v>2.6045454545454545</v>
      </c>
      <c r="CV8" s="269">
        <v>496</v>
      </c>
      <c r="CW8" s="269">
        <v>230</v>
      </c>
      <c r="CX8" s="133">
        <v>2.1565217391304348</v>
      </c>
      <c r="CY8" s="269">
        <v>613</v>
      </c>
      <c r="CZ8" s="269">
        <v>231</v>
      </c>
      <c r="DA8" s="133">
        <v>2.6536796536796539</v>
      </c>
      <c r="DB8" s="269">
        <v>764.84000000000015</v>
      </c>
      <c r="DC8" s="269">
        <v>232</v>
      </c>
      <c r="DD8" s="133">
        <v>3.2967241379310352</v>
      </c>
      <c r="DE8" s="274">
        <v>2446.84</v>
      </c>
      <c r="DF8" s="274">
        <v>913</v>
      </c>
      <c r="DG8" s="273">
        <v>2.68</v>
      </c>
      <c r="DH8" s="272">
        <f>+DI8*DJ8</f>
        <v>1269</v>
      </c>
      <c r="DI8" s="272">
        <v>12</v>
      </c>
      <c r="DJ8" s="296">
        <v>105.75</v>
      </c>
      <c r="DK8" s="272">
        <f>+DL8*DM8</f>
        <v>1473</v>
      </c>
      <c r="DL8" s="272">
        <v>15</v>
      </c>
      <c r="DM8" s="296">
        <v>98.2</v>
      </c>
      <c r="DN8" s="272">
        <f>+DO8*DP8</f>
        <v>1224.47</v>
      </c>
      <c r="DO8" s="272">
        <v>13</v>
      </c>
      <c r="DP8" s="296">
        <v>94.19</v>
      </c>
      <c r="DQ8" s="272">
        <f t="shared" ref="DQ8:DR10" si="49">+DT8-DN8-DK8-DH8</f>
        <v>1393.829999999999</v>
      </c>
      <c r="DR8" s="272">
        <f t="shared" si="49"/>
        <v>15</v>
      </c>
      <c r="DS8" s="296">
        <f>+DQ8/DR8</f>
        <v>92.92199999999994</v>
      </c>
      <c r="DT8" s="277">
        <f>+DU8*DV8</f>
        <v>5360.2999999999993</v>
      </c>
      <c r="DU8" s="277">
        <v>55</v>
      </c>
      <c r="DV8" s="297">
        <v>97.46</v>
      </c>
      <c r="DW8" s="99">
        <f>+DX8*DY8</f>
        <v>329.63</v>
      </c>
      <c r="DX8" s="99">
        <v>7</v>
      </c>
      <c r="DY8" s="298">
        <v>47.09</v>
      </c>
      <c r="DZ8" s="99">
        <f>+EA8*EB8</f>
        <v>282.87</v>
      </c>
      <c r="EA8" s="99">
        <v>7</v>
      </c>
      <c r="EB8" s="298">
        <v>40.409999999999997</v>
      </c>
      <c r="EC8" s="99">
        <f>+ED8*EE8</f>
        <v>287.44</v>
      </c>
      <c r="ED8" s="99">
        <v>8</v>
      </c>
      <c r="EE8" s="298">
        <v>35.93</v>
      </c>
      <c r="EF8" s="99">
        <f t="shared" ref="EF8:EG11" si="50">+EI8-EC8-DZ8-DW8</f>
        <v>313.25999999999976</v>
      </c>
      <c r="EG8" s="99">
        <f t="shared" si="50"/>
        <v>8</v>
      </c>
      <c r="EH8" s="298">
        <f>+EF8/EG8</f>
        <v>39.15749999999997</v>
      </c>
      <c r="EI8" s="282">
        <f>+EJ8*EK8</f>
        <v>1213.1999999999998</v>
      </c>
      <c r="EJ8" s="282">
        <v>30</v>
      </c>
      <c r="EK8" s="299">
        <v>40.44</v>
      </c>
      <c r="EL8" s="344">
        <v>94.05</v>
      </c>
      <c r="EM8" s="344">
        <v>2.75</v>
      </c>
      <c r="EN8" s="344">
        <v>10.98</v>
      </c>
      <c r="EO8" s="74">
        <v>2.41</v>
      </c>
      <c r="EP8" s="74">
        <v>2.2799999999999998</v>
      </c>
      <c r="EQ8" s="74">
        <v>2.88</v>
      </c>
      <c r="ER8" s="74">
        <v>3.4</v>
      </c>
      <c r="ES8" s="74">
        <v>13.14</v>
      </c>
      <c r="ET8" s="74">
        <v>10.75</v>
      </c>
      <c r="EU8" s="74">
        <v>9.9600000000000009</v>
      </c>
      <c r="EV8" s="74">
        <v>10.08</v>
      </c>
      <c r="EW8" s="74">
        <v>102.98</v>
      </c>
      <c r="EX8" s="74">
        <v>93.29</v>
      </c>
      <c r="EY8" s="74">
        <v>92.17</v>
      </c>
      <c r="EZ8" s="74">
        <v>88.01</v>
      </c>
    </row>
    <row r="9" spans="1:164" ht="26.25" customHeight="1" x14ac:dyDescent="0.3">
      <c r="A9" s="43" t="s">
        <v>20</v>
      </c>
      <c r="B9" s="43" t="s">
        <v>21</v>
      </c>
      <c r="C9" s="53">
        <v>2013</v>
      </c>
      <c r="D9" s="52">
        <v>965</v>
      </c>
      <c r="E9" s="52">
        <v>58</v>
      </c>
      <c r="F9" s="52">
        <v>33</v>
      </c>
      <c r="G9" s="52">
        <f t="shared" si="0"/>
        <v>251.83333333333334</v>
      </c>
      <c r="H9" s="52">
        <f t="shared" si="1"/>
        <v>1511</v>
      </c>
      <c r="I9" s="52">
        <v>0</v>
      </c>
      <c r="J9" s="52">
        <v>32</v>
      </c>
      <c r="K9" s="52">
        <v>0</v>
      </c>
      <c r="L9" s="52">
        <f t="shared" si="2"/>
        <v>32</v>
      </c>
      <c r="M9" s="52">
        <f t="shared" si="3"/>
        <v>192</v>
      </c>
      <c r="N9" s="52">
        <f t="shared" si="4"/>
        <v>283.83333333333337</v>
      </c>
      <c r="O9" s="52">
        <f t="shared" si="4"/>
        <v>1703</v>
      </c>
      <c r="P9" s="54">
        <f t="shared" si="5"/>
        <v>0.88725778038755143</v>
      </c>
      <c r="Q9" s="54">
        <f>D9/H9</f>
        <v>0.63864990072799466</v>
      </c>
      <c r="R9" s="54">
        <f t="shared" si="12"/>
        <v>0.2303110522832561</v>
      </c>
      <c r="S9" s="54">
        <f t="shared" si="13"/>
        <v>0.13103904698874916</v>
      </c>
      <c r="T9" s="208">
        <v>245</v>
      </c>
      <c r="U9" s="208">
        <v>127</v>
      </c>
      <c r="V9" s="208">
        <v>2085</v>
      </c>
      <c r="W9" s="52">
        <f t="shared" si="7"/>
        <v>4317</v>
      </c>
      <c r="X9" s="52">
        <f t="shared" si="14"/>
        <v>615</v>
      </c>
      <c r="Y9" s="52">
        <f t="shared" si="15"/>
        <v>719.5</v>
      </c>
      <c r="Z9" s="52">
        <f t="shared" si="16"/>
        <v>102.5</v>
      </c>
      <c r="AA9" s="205">
        <f t="shared" si="42"/>
        <v>0.16612641815235007</v>
      </c>
      <c r="AB9" s="44"/>
      <c r="AC9" s="45">
        <v>1276</v>
      </c>
      <c r="AD9" s="45">
        <v>416</v>
      </c>
      <c r="AE9" s="45">
        <v>153</v>
      </c>
      <c r="AF9" s="45">
        <v>0</v>
      </c>
      <c r="AG9" s="55">
        <f t="shared" si="47"/>
        <v>1845</v>
      </c>
      <c r="AH9" s="45">
        <v>96</v>
      </c>
      <c r="AI9" s="45">
        <v>52</v>
      </c>
      <c r="AJ9" s="45">
        <v>1</v>
      </c>
      <c r="AK9" s="45">
        <v>0</v>
      </c>
      <c r="AL9" s="55">
        <f t="shared" si="48"/>
        <v>149</v>
      </c>
      <c r="AM9" s="45">
        <v>17</v>
      </c>
      <c r="AN9" s="45">
        <v>10</v>
      </c>
      <c r="AO9" s="45">
        <v>9</v>
      </c>
      <c r="AP9" s="45">
        <v>0</v>
      </c>
      <c r="AQ9" s="55">
        <f t="shared" si="8"/>
        <v>36</v>
      </c>
      <c r="AR9" s="55">
        <f t="shared" si="9"/>
        <v>2955</v>
      </c>
      <c r="AS9" s="55">
        <f t="shared" si="10"/>
        <v>492.5</v>
      </c>
      <c r="AT9" s="46">
        <v>282</v>
      </c>
      <c r="AU9" s="46">
        <v>324</v>
      </c>
      <c r="AV9" s="46">
        <v>1031</v>
      </c>
      <c r="AW9" s="46">
        <v>4421</v>
      </c>
      <c r="AX9" s="50">
        <f t="shared" si="11"/>
        <v>6058</v>
      </c>
      <c r="AY9" s="52">
        <f t="shared" si="18"/>
        <v>15184</v>
      </c>
      <c r="AZ9" s="52">
        <f t="shared" si="19"/>
        <v>1189.3333333333335</v>
      </c>
      <c r="BA9" s="52">
        <f t="shared" si="20"/>
        <v>7136</v>
      </c>
      <c r="BB9" s="50">
        <f t="shared" si="21"/>
        <v>12.766816143497756</v>
      </c>
      <c r="BC9" s="50">
        <f t="shared" si="22"/>
        <v>2.1278026905829597</v>
      </c>
      <c r="BD9" s="44" t="s">
        <v>23</v>
      </c>
      <c r="BE9" s="47">
        <f>874+998+54</f>
        <v>1926</v>
      </c>
      <c r="BF9" s="48"/>
      <c r="BG9" s="48">
        <v>332</v>
      </c>
      <c r="BH9" s="47">
        <f t="shared" si="43"/>
        <v>332</v>
      </c>
      <c r="BI9" s="48">
        <v>169</v>
      </c>
      <c r="BJ9" s="48">
        <v>0</v>
      </c>
      <c r="BK9" s="47">
        <f t="shared" si="44"/>
        <v>139.46735045649029</v>
      </c>
      <c r="BL9" s="48">
        <v>0</v>
      </c>
      <c r="BM9" s="48">
        <v>569</v>
      </c>
      <c r="BN9" s="47">
        <f t="shared" si="45"/>
        <v>569</v>
      </c>
      <c r="BO9" s="48">
        <v>949</v>
      </c>
      <c r="BP9" s="48">
        <v>0</v>
      </c>
      <c r="BQ9" s="47">
        <f t="shared" si="46"/>
        <v>783.16281410183012</v>
      </c>
      <c r="BR9" s="48">
        <v>13828</v>
      </c>
      <c r="BS9" s="48">
        <v>14867</v>
      </c>
      <c r="BT9" s="202">
        <f t="shared" si="23"/>
        <v>0.82525059441710236</v>
      </c>
      <c r="BU9" s="49">
        <f t="shared" si="24"/>
        <v>3749.6301645583203</v>
      </c>
      <c r="BV9" s="50">
        <f t="shared" si="25"/>
        <v>14.88933222193906</v>
      </c>
      <c r="BW9" s="50">
        <f t="shared" si="26"/>
        <v>2.4815553703231767</v>
      </c>
      <c r="BX9" s="44"/>
      <c r="BY9" s="91">
        <f t="shared" si="27"/>
        <v>9807.6301645583208</v>
      </c>
      <c r="BZ9" s="56">
        <f t="shared" si="28"/>
        <v>980.76301645583214</v>
      </c>
      <c r="CA9" s="141">
        <f t="shared" si="29"/>
        <v>0.16189551278571016</v>
      </c>
      <c r="CB9" s="56">
        <f t="shared" si="30"/>
        <v>3.8944924544903987</v>
      </c>
      <c r="CC9" s="56">
        <f t="shared" si="31"/>
        <v>0.64908207574839982</v>
      </c>
      <c r="CD9" s="56">
        <f t="shared" si="32"/>
        <v>24.055592322964923</v>
      </c>
      <c r="CE9" s="56">
        <f t="shared" si="32"/>
        <v>4.0092653871608208</v>
      </c>
      <c r="CF9" s="56">
        <f t="shared" si="33"/>
        <v>27.656148365436817</v>
      </c>
      <c r="CG9" s="56">
        <f t="shared" si="34"/>
        <v>31.550640819927217</v>
      </c>
      <c r="CH9" s="56">
        <f t="shared" si="35"/>
        <v>51.71174068840174</v>
      </c>
      <c r="CI9" s="56">
        <f t="shared" si="36"/>
        <v>4.6093580609061364</v>
      </c>
      <c r="CJ9" s="38">
        <f t="shared" si="37"/>
        <v>5.2584401366545359</v>
      </c>
      <c r="CK9" s="56">
        <f t="shared" si="38"/>
        <v>8.6186234480669572</v>
      </c>
      <c r="CL9" s="51">
        <v>4</v>
      </c>
      <c r="CM9" s="56">
        <f t="shared" si="39"/>
        <v>2.7656148365436817</v>
      </c>
      <c r="CN9" s="56">
        <f t="shared" si="40"/>
        <v>696.47400300291724</v>
      </c>
      <c r="CO9" s="145">
        <f t="shared" si="41"/>
        <v>0.11496764658351226</v>
      </c>
      <c r="CP9" s="63">
        <f>461+160</f>
        <v>621</v>
      </c>
      <c r="CQ9" s="327"/>
      <c r="CR9" s="324">
        <v>13565</v>
      </c>
      <c r="CS9" s="270">
        <v>807</v>
      </c>
      <c r="CT9" s="269">
        <v>242</v>
      </c>
      <c r="CU9" s="133">
        <v>3.33</v>
      </c>
      <c r="CV9" s="269">
        <v>935</v>
      </c>
      <c r="CW9" s="269">
        <v>241</v>
      </c>
      <c r="CX9" s="133">
        <v>3.88</v>
      </c>
      <c r="CY9" s="269">
        <v>805</v>
      </c>
      <c r="CZ9" s="269">
        <v>242</v>
      </c>
      <c r="DA9" s="133">
        <v>3.33</v>
      </c>
      <c r="DB9" s="269">
        <v>841</v>
      </c>
      <c r="DC9" s="269">
        <v>243</v>
      </c>
      <c r="DD9" s="133">
        <v>3.4609053497942388</v>
      </c>
      <c r="DE9" s="274">
        <v>3388</v>
      </c>
      <c r="DF9" s="274">
        <v>968</v>
      </c>
      <c r="DG9" s="273">
        <v>3.5</v>
      </c>
      <c r="DH9" s="272">
        <f>+DI9*DJ9</f>
        <v>1362.48</v>
      </c>
      <c r="DI9" s="272">
        <v>14</v>
      </c>
      <c r="DJ9" s="296">
        <v>97.32</v>
      </c>
      <c r="DK9" s="272">
        <f>+DL9*DM9</f>
        <v>1329.86</v>
      </c>
      <c r="DL9" s="272">
        <v>14</v>
      </c>
      <c r="DM9" s="296">
        <v>94.99</v>
      </c>
      <c r="DN9" s="272">
        <f>+DO9*DP9</f>
        <v>1444.1000000000001</v>
      </c>
      <c r="DO9" s="272">
        <v>14</v>
      </c>
      <c r="DP9" s="296">
        <v>103.15</v>
      </c>
      <c r="DQ9" s="272">
        <f t="shared" si="49"/>
        <v>1490.7199999999998</v>
      </c>
      <c r="DR9" s="272">
        <f t="shared" si="49"/>
        <v>16</v>
      </c>
      <c r="DS9" s="296">
        <f>+DQ9/DR9</f>
        <v>93.169999999999987</v>
      </c>
      <c r="DT9" s="277">
        <f>+DU9*DV9</f>
        <v>5627.16</v>
      </c>
      <c r="DU9" s="277">
        <v>58</v>
      </c>
      <c r="DV9" s="297">
        <v>97.02</v>
      </c>
      <c r="DW9" s="99">
        <f>+DX9*DY9</f>
        <v>305.36</v>
      </c>
      <c r="DX9" s="99">
        <v>8</v>
      </c>
      <c r="DY9" s="298">
        <v>38.17</v>
      </c>
      <c r="DZ9" s="99">
        <f>+EA9*EB9</f>
        <v>240.31</v>
      </c>
      <c r="EA9" s="99">
        <v>7</v>
      </c>
      <c r="EB9" s="298">
        <v>34.33</v>
      </c>
      <c r="EC9" s="99">
        <f>+ED9*EE9</f>
        <v>346.41</v>
      </c>
      <c r="ED9" s="99">
        <v>9</v>
      </c>
      <c r="EE9" s="298">
        <v>38.49</v>
      </c>
      <c r="EF9" s="99">
        <f t="shared" si="50"/>
        <v>360.92999999999995</v>
      </c>
      <c r="EG9" s="99">
        <f t="shared" si="50"/>
        <v>9</v>
      </c>
      <c r="EH9" s="298">
        <f>+EF9/EG9</f>
        <v>40.103333333333325</v>
      </c>
      <c r="EI9" s="282">
        <f>+EJ9*EK9</f>
        <v>1253.01</v>
      </c>
      <c r="EJ9" s="282">
        <v>33</v>
      </c>
      <c r="EK9" s="299">
        <v>37.97</v>
      </c>
      <c r="EL9" s="344">
        <v>97.98</v>
      </c>
      <c r="EM9" s="344">
        <v>3.73</v>
      </c>
      <c r="EN9" s="344">
        <v>9.94</v>
      </c>
      <c r="EO9" s="74">
        <v>3.49</v>
      </c>
      <c r="EP9" s="74">
        <v>4.01</v>
      </c>
      <c r="EQ9" s="74">
        <v>3.56</v>
      </c>
      <c r="ER9" s="74">
        <v>3.85</v>
      </c>
      <c r="ES9" s="74">
        <v>9.77</v>
      </c>
      <c r="ET9" s="74">
        <v>9.39</v>
      </c>
      <c r="EU9" s="74">
        <v>10.01</v>
      </c>
      <c r="EV9" s="74">
        <v>10.53</v>
      </c>
      <c r="EW9" s="74">
        <v>94.33</v>
      </c>
      <c r="EX9" s="74">
        <v>94.05</v>
      </c>
      <c r="EY9" s="74">
        <v>105.83</v>
      </c>
      <c r="EZ9" s="74">
        <v>97.44</v>
      </c>
    </row>
    <row r="10" spans="1:164" ht="26.25" customHeight="1" x14ac:dyDescent="0.3">
      <c r="A10" s="43" t="s">
        <v>20</v>
      </c>
      <c r="B10" s="43" t="s">
        <v>21</v>
      </c>
      <c r="C10" s="53">
        <v>2014</v>
      </c>
      <c r="D10" s="52">
        <v>951</v>
      </c>
      <c r="E10" s="52">
        <v>74</v>
      </c>
      <c r="F10" s="52">
        <v>44</v>
      </c>
      <c r="G10" s="52">
        <f t="shared" si="0"/>
        <v>276.5</v>
      </c>
      <c r="H10" s="52">
        <f t="shared" si="1"/>
        <v>1659</v>
      </c>
      <c r="I10" s="52">
        <v>0</v>
      </c>
      <c r="J10" s="52">
        <v>35</v>
      </c>
      <c r="K10" s="52">
        <v>1</v>
      </c>
      <c r="L10" s="52">
        <f t="shared" si="2"/>
        <v>36</v>
      </c>
      <c r="M10" s="52">
        <f t="shared" si="3"/>
        <v>216</v>
      </c>
      <c r="N10" s="52">
        <f t="shared" si="4"/>
        <v>312.5</v>
      </c>
      <c r="O10" s="52">
        <f t="shared" si="4"/>
        <v>1875</v>
      </c>
      <c r="P10" s="54">
        <f t="shared" si="5"/>
        <v>0.88480000000000003</v>
      </c>
      <c r="Q10" s="54">
        <f>D10/H10</f>
        <v>0.5732368896925859</v>
      </c>
      <c r="R10" s="54">
        <f t="shared" si="12"/>
        <v>0.26763110307414106</v>
      </c>
      <c r="S10" s="54">
        <f t="shared" si="13"/>
        <v>0.15913200723327306</v>
      </c>
      <c r="T10" s="208">
        <v>352</v>
      </c>
      <c r="U10" s="208">
        <v>162</v>
      </c>
      <c r="V10" s="208">
        <v>2033</v>
      </c>
      <c r="W10" s="52">
        <f t="shared" si="7"/>
        <v>5117</v>
      </c>
      <c r="X10" s="52">
        <f t="shared" si="14"/>
        <v>800</v>
      </c>
      <c r="Y10" s="52">
        <f t="shared" si="15"/>
        <v>852.83333333333326</v>
      </c>
      <c r="Z10" s="52">
        <f t="shared" si="16"/>
        <v>133.33333333333326</v>
      </c>
      <c r="AA10" s="205">
        <f t="shared" si="42"/>
        <v>0.18531387537641869</v>
      </c>
      <c r="AB10" s="44"/>
      <c r="AC10" s="45">
        <v>710</v>
      </c>
      <c r="AD10" s="45">
        <v>196</v>
      </c>
      <c r="AE10" s="45">
        <v>0</v>
      </c>
      <c r="AF10" s="45">
        <v>0</v>
      </c>
      <c r="AG10" s="55">
        <f t="shared" si="47"/>
        <v>906</v>
      </c>
      <c r="AH10" s="45">
        <v>167</v>
      </c>
      <c r="AI10" s="45">
        <v>25</v>
      </c>
      <c r="AJ10" s="45">
        <v>0</v>
      </c>
      <c r="AK10" s="45">
        <v>0</v>
      </c>
      <c r="AL10" s="55">
        <f t="shared" si="48"/>
        <v>192</v>
      </c>
      <c r="AM10" s="45">
        <v>129</v>
      </c>
      <c r="AN10" s="45">
        <v>5</v>
      </c>
      <c r="AO10" s="45">
        <v>0</v>
      </c>
      <c r="AP10" s="45">
        <v>0</v>
      </c>
      <c r="AQ10" s="55">
        <f t="shared" si="8"/>
        <v>134</v>
      </c>
      <c r="AR10" s="55">
        <f t="shared" si="9"/>
        <v>2862</v>
      </c>
      <c r="AS10" s="55">
        <f t="shared" si="10"/>
        <v>477</v>
      </c>
      <c r="AT10" s="46">
        <v>264</v>
      </c>
      <c r="AU10" s="46">
        <v>3</v>
      </c>
      <c r="AV10" s="46">
        <v>1095</v>
      </c>
      <c r="AW10" s="46">
        <v>6158</v>
      </c>
      <c r="AX10" s="50">
        <f t="shared" si="11"/>
        <v>7520</v>
      </c>
      <c r="AY10" s="52">
        <f t="shared" si="18"/>
        <v>18458</v>
      </c>
      <c r="AZ10" s="52">
        <f t="shared" si="19"/>
        <v>1288.3333333333335</v>
      </c>
      <c r="BA10" s="52">
        <f t="shared" si="20"/>
        <v>7730</v>
      </c>
      <c r="BB10" s="50">
        <f t="shared" si="21"/>
        <v>14.327037516170762</v>
      </c>
      <c r="BC10" s="50">
        <f t="shared" si="22"/>
        <v>2.3878395860284605</v>
      </c>
      <c r="BD10" s="44" t="s">
        <v>273</v>
      </c>
      <c r="BE10" s="47">
        <f>968+1150+163</f>
        <v>2281</v>
      </c>
      <c r="BF10" s="48"/>
      <c r="BG10" s="48">
        <v>394</v>
      </c>
      <c r="BH10" s="47">
        <f t="shared" si="43"/>
        <v>394</v>
      </c>
      <c r="BI10" s="48">
        <v>956</v>
      </c>
      <c r="BJ10" s="48">
        <v>0</v>
      </c>
      <c r="BK10" s="47">
        <f t="shared" si="44"/>
        <v>783.57153143206108</v>
      </c>
      <c r="BL10" s="48">
        <v>0</v>
      </c>
      <c r="BM10" s="48">
        <v>652</v>
      </c>
      <c r="BN10" s="47">
        <f t="shared" si="45"/>
        <v>652</v>
      </c>
      <c r="BO10" s="48">
        <v>973</v>
      </c>
      <c r="BP10" s="48">
        <v>0</v>
      </c>
      <c r="BQ10" s="47">
        <f t="shared" si="46"/>
        <v>797.50533481526725</v>
      </c>
      <c r="BR10" s="48">
        <v>15169</v>
      </c>
      <c r="BS10" s="48">
        <v>16375</v>
      </c>
      <c r="BT10" s="202">
        <f t="shared" si="23"/>
        <v>0.81963549312977102</v>
      </c>
      <c r="BU10" s="49">
        <f t="shared" si="24"/>
        <v>4908.0768662473283</v>
      </c>
      <c r="BV10" s="50">
        <f t="shared" si="25"/>
        <v>17.750730076843865</v>
      </c>
      <c r="BW10" s="50">
        <f t="shared" si="26"/>
        <v>2.9584550128073106</v>
      </c>
      <c r="BX10" s="44"/>
      <c r="BY10" s="91">
        <f t="shared" si="27"/>
        <v>12428.076866247327</v>
      </c>
      <c r="BZ10" s="56">
        <f t="shared" si="28"/>
        <v>1242.8076866247329</v>
      </c>
      <c r="CA10" s="141">
        <f t="shared" si="29"/>
        <v>0.16526697960435277</v>
      </c>
      <c r="CB10" s="56">
        <f t="shared" si="30"/>
        <v>4.4947836767621441</v>
      </c>
      <c r="CC10" s="56">
        <f t="shared" si="31"/>
        <v>0.74913061279369075</v>
      </c>
      <c r="CD10" s="56">
        <f t="shared" si="32"/>
        <v>27.197106690777577</v>
      </c>
      <c r="CE10" s="56">
        <f t="shared" si="32"/>
        <v>4.5328511151295965</v>
      </c>
      <c r="CF10" s="56">
        <f t="shared" si="33"/>
        <v>32.077767593014627</v>
      </c>
      <c r="CG10" s="56">
        <f t="shared" si="34"/>
        <v>36.572551269776774</v>
      </c>
      <c r="CH10" s="56">
        <f t="shared" si="35"/>
        <v>59.274874283792201</v>
      </c>
      <c r="CI10" s="56">
        <f t="shared" si="36"/>
        <v>5.3462945988357706</v>
      </c>
      <c r="CJ10" s="56">
        <f t="shared" si="37"/>
        <v>6.0954252116294612</v>
      </c>
      <c r="CK10" s="56">
        <f t="shared" si="38"/>
        <v>9.879145713965368</v>
      </c>
      <c r="CL10" s="51">
        <v>4</v>
      </c>
      <c r="CM10" s="56">
        <f t="shared" si="39"/>
        <v>3.2077767593014626</v>
      </c>
      <c r="CN10" s="56">
        <f t="shared" si="40"/>
        <v>886.9502739468544</v>
      </c>
      <c r="CO10" s="173">
        <f t="shared" si="41"/>
        <v>0.11794551515250723</v>
      </c>
      <c r="CP10" s="174">
        <f>164+314</f>
        <v>478</v>
      </c>
      <c r="CQ10" s="328"/>
      <c r="CR10" s="169">
        <v>15092</v>
      </c>
      <c r="CS10" s="270">
        <v>1217</v>
      </c>
      <c r="CT10" s="269">
        <v>243</v>
      </c>
      <c r="CU10" s="133">
        <v>5.01</v>
      </c>
      <c r="CV10" s="269">
        <v>991</v>
      </c>
      <c r="CW10" s="269">
        <v>238</v>
      </c>
      <c r="CX10" s="133">
        <v>4.16</v>
      </c>
      <c r="CY10" s="269">
        <v>830</v>
      </c>
      <c r="CZ10" s="269">
        <v>230</v>
      </c>
      <c r="DA10" s="133">
        <v>3.62</v>
      </c>
      <c r="DB10" s="269">
        <v>808.15000000000009</v>
      </c>
      <c r="DC10" s="269">
        <v>234</v>
      </c>
      <c r="DD10" s="133">
        <v>3.4536324786324792</v>
      </c>
      <c r="DE10" s="274">
        <v>3846.15</v>
      </c>
      <c r="DF10" s="274">
        <v>945</v>
      </c>
      <c r="DG10" s="273">
        <v>4.07</v>
      </c>
      <c r="DH10" s="272">
        <f>+DI10*DJ10</f>
        <v>1517.44</v>
      </c>
      <c r="DI10" s="272">
        <v>16</v>
      </c>
      <c r="DJ10" s="296">
        <v>94.84</v>
      </c>
      <c r="DK10" s="272">
        <f>+DL10*DM10</f>
        <v>1776.42</v>
      </c>
      <c r="DL10" s="272">
        <v>18</v>
      </c>
      <c r="DM10" s="296">
        <v>98.69</v>
      </c>
      <c r="DN10" s="272">
        <f>+DO10*DP10</f>
        <v>1851.8000000000002</v>
      </c>
      <c r="DO10" s="272">
        <v>20</v>
      </c>
      <c r="DP10" s="296">
        <v>92.59</v>
      </c>
      <c r="DQ10" s="272">
        <f t="shared" si="49"/>
        <v>1365.599999999999</v>
      </c>
      <c r="DR10" s="272">
        <f t="shared" si="49"/>
        <v>20</v>
      </c>
      <c r="DS10" s="296">
        <f>+DQ10/DR10</f>
        <v>68.279999999999944</v>
      </c>
      <c r="DT10" s="277">
        <f>+DU10*DV10</f>
        <v>6511.2599999999993</v>
      </c>
      <c r="DU10" s="277">
        <v>74</v>
      </c>
      <c r="DV10" s="297">
        <v>87.99</v>
      </c>
      <c r="DW10" s="99">
        <f>+DX10*DY10</f>
        <v>390.15000000000003</v>
      </c>
      <c r="DX10" s="99">
        <v>9</v>
      </c>
      <c r="DY10" s="298">
        <v>43.35</v>
      </c>
      <c r="DZ10" s="99">
        <f>+EA10*EB10</f>
        <v>411.29</v>
      </c>
      <c r="EA10" s="99">
        <v>11</v>
      </c>
      <c r="EB10" s="298">
        <v>37.39</v>
      </c>
      <c r="EC10" s="99">
        <f>+ED10*EE10</f>
        <v>386.21</v>
      </c>
      <c r="ED10" s="99">
        <v>11</v>
      </c>
      <c r="EE10" s="298">
        <v>35.11</v>
      </c>
      <c r="EF10" s="99">
        <f t="shared" si="50"/>
        <v>373.46999999999986</v>
      </c>
      <c r="EG10" s="99">
        <f t="shared" si="50"/>
        <v>13</v>
      </c>
      <c r="EH10" s="298">
        <f>+EF10/EG10</f>
        <v>28.728461538461527</v>
      </c>
      <c r="EI10" s="282">
        <f>+EJ10*EK10</f>
        <v>1561.12</v>
      </c>
      <c r="EJ10" s="282">
        <v>44</v>
      </c>
      <c r="EK10" s="299">
        <v>35.479999999999997</v>
      </c>
      <c r="EL10" s="344">
        <v>93.17</v>
      </c>
      <c r="EM10" s="344">
        <v>4.37</v>
      </c>
      <c r="EN10" s="344">
        <v>9.56</v>
      </c>
      <c r="EO10" s="74">
        <v>5.21</v>
      </c>
      <c r="EP10" s="74">
        <v>4.6100000000000003</v>
      </c>
      <c r="EQ10" s="74">
        <v>3.96</v>
      </c>
      <c r="ER10" s="74">
        <v>3.8</v>
      </c>
      <c r="ES10" s="74">
        <v>11.19</v>
      </c>
      <c r="ET10" s="74">
        <v>10.15</v>
      </c>
      <c r="EU10" s="74">
        <v>9.83</v>
      </c>
      <c r="EV10" s="74">
        <v>7.41</v>
      </c>
      <c r="EW10" s="74">
        <v>98.68</v>
      </c>
      <c r="EX10" s="74">
        <v>103.35</v>
      </c>
      <c r="EY10" s="74">
        <v>97.87</v>
      </c>
      <c r="EZ10" s="74">
        <v>73.209999999999994</v>
      </c>
    </row>
    <row r="11" spans="1:164" ht="26.25" customHeight="1" x14ac:dyDescent="0.3">
      <c r="A11" s="43" t="s">
        <v>20</v>
      </c>
      <c r="B11" s="43" t="s">
        <v>21</v>
      </c>
      <c r="C11" s="53">
        <v>2015</v>
      </c>
      <c r="D11" s="52">
        <v>854</v>
      </c>
      <c r="E11" s="52">
        <v>85</v>
      </c>
      <c r="F11" s="52">
        <v>45</v>
      </c>
      <c r="G11" s="52">
        <f t="shared" si="0"/>
        <v>272.33333333333337</v>
      </c>
      <c r="H11" s="52">
        <f t="shared" si="1"/>
        <v>1634</v>
      </c>
      <c r="I11" s="52">
        <v>5</v>
      </c>
      <c r="J11" s="52">
        <v>31</v>
      </c>
      <c r="K11" s="52">
        <v>2</v>
      </c>
      <c r="L11" s="52">
        <f t="shared" si="2"/>
        <v>33.833333333333329</v>
      </c>
      <c r="M11" s="52">
        <f t="shared" si="3"/>
        <v>203</v>
      </c>
      <c r="N11" s="52">
        <f t="shared" si="4"/>
        <v>306.16666666666669</v>
      </c>
      <c r="O11" s="52">
        <f t="shared" si="4"/>
        <v>1837</v>
      </c>
      <c r="P11" s="54">
        <f t="shared" si="5"/>
        <v>0.88949373979314095</v>
      </c>
      <c r="Q11" s="54">
        <f>D11/H11</f>
        <v>0.52264381884944922</v>
      </c>
      <c r="R11" s="54">
        <f t="shared" si="12"/>
        <v>0.31211750305997549</v>
      </c>
      <c r="S11" s="54">
        <f t="shared" si="13"/>
        <v>0.16523867809057524</v>
      </c>
      <c r="T11" s="208">
        <v>193</v>
      </c>
      <c r="U11" s="208">
        <v>68</v>
      </c>
      <c r="V11" s="208">
        <v>807</v>
      </c>
      <c r="W11" s="52">
        <f>+T11*6+U11*6+V11</f>
        <v>2373</v>
      </c>
      <c r="X11" s="52">
        <f t="shared" si="14"/>
        <v>-2744</v>
      </c>
      <c r="Y11" s="52">
        <f t="shared" si="15"/>
        <v>395.5</v>
      </c>
      <c r="Z11" s="52">
        <f t="shared" si="16"/>
        <v>-457.33333333333326</v>
      </c>
      <c r="AA11" s="205">
        <f t="shared" si="42"/>
        <v>-0.5362517099863201</v>
      </c>
      <c r="AB11" s="44"/>
      <c r="AC11" s="45">
        <v>-888</v>
      </c>
      <c r="AD11" s="45">
        <v>60</v>
      </c>
      <c r="AE11" s="45">
        <v>8</v>
      </c>
      <c r="AF11" s="45">
        <v>0</v>
      </c>
      <c r="AG11" s="55">
        <f t="shared" si="47"/>
        <v>-820</v>
      </c>
      <c r="AH11" s="45">
        <v>2</v>
      </c>
      <c r="AI11" s="45">
        <v>15</v>
      </c>
      <c r="AJ11" s="45">
        <v>0</v>
      </c>
      <c r="AK11" s="45">
        <v>0</v>
      </c>
      <c r="AL11" s="55">
        <f t="shared" si="48"/>
        <v>17</v>
      </c>
      <c r="AM11" s="45">
        <v>-99</v>
      </c>
      <c r="AN11" s="45">
        <v>4</v>
      </c>
      <c r="AO11" s="45">
        <v>0</v>
      </c>
      <c r="AP11" s="45">
        <v>0</v>
      </c>
      <c r="AQ11" s="55">
        <f t="shared" si="8"/>
        <v>-95</v>
      </c>
      <c r="AR11" s="55">
        <f t="shared" si="9"/>
        <v>-1288</v>
      </c>
      <c r="AS11" s="55">
        <f t="shared" si="10"/>
        <v>-214.66666666666666</v>
      </c>
      <c r="AT11" s="46">
        <v>293</v>
      </c>
      <c r="AU11" s="46">
        <v>81</v>
      </c>
      <c r="AV11" s="46">
        <v>503</v>
      </c>
      <c r="AW11" s="46">
        <v>3660</v>
      </c>
      <c r="AX11" s="50">
        <f t="shared" si="11"/>
        <v>4537</v>
      </c>
      <c r="AY11" s="52">
        <f t="shared" si="18"/>
        <v>18115</v>
      </c>
      <c r="AZ11" s="52">
        <f t="shared" si="19"/>
        <v>754.83333333333337</v>
      </c>
      <c r="BA11" s="52">
        <f t="shared" si="20"/>
        <v>4529</v>
      </c>
      <c r="BB11" s="50">
        <f>AY11/AZ11</f>
        <v>23.998675204239344</v>
      </c>
      <c r="BC11" s="50">
        <f>AY11/BA11</f>
        <v>3.9997792007065578</v>
      </c>
      <c r="BD11" s="44"/>
      <c r="BE11" s="47">
        <f>815+1083+150</f>
        <v>2048</v>
      </c>
      <c r="BF11" s="48"/>
      <c r="BG11" s="48">
        <v>398</v>
      </c>
      <c r="BH11" s="47">
        <f t="shared" si="43"/>
        <v>398</v>
      </c>
      <c r="BI11" s="48">
        <v>26</v>
      </c>
      <c r="BJ11" s="48">
        <v>0</v>
      </c>
      <c r="BK11" s="47">
        <f t="shared" si="44"/>
        <v>20.137853210834383</v>
      </c>
      <c r="BL11" s="48">
        <v>0</v>
      </c>
      <c r="BM11" s="48">
        <v>218</v>
      </c>
      <c r="BN11" s="47">
        <f t="shared" si="45"/>
        <v>218</v>
      </c>
      <c r="BO11" s="48">
        <v>989</v>
      </c>
      <c r="BP11" s="48">
        <v>0</v>
      </c>
      <c r="BQ11" s="47">
        <f t="shared" si="46"/>
        <v>766.01295482750788</v>
      </c>
      <c r="BR11" s="48">
        <v>8260</v>
      </c>
      <c r="BS11" s="48">
        <v>9486</v>
      </c>
      <c r="BT11" s="202">
        <f t="shared" si="23"/>
        <v>0.77453281580132238</v>
      </c>
      <c r="BU11" s="49">
        <f t="shared" si="24"/>
        <v>3450.1508080383423</v>
      </c>
      <c r="BV11" s="50">
        <f t="shared" si="25"/>
        <v>12.668852416297462</v>
      </c>
      <c r="BW11" s="50">
        <f t="shared" si="26"/>
        <v>2.1114754027162439</v>
      </c>
      <c r="BX11" s="44"/>
      <c r="BY11" s="91">
        <f t="shared" si="27"/>
        <v>7987.1508080383428</v>
      </c>
      <c r="BZ11" s="56">
        <f>(BY11*0.1)</f>
        <v>798.71508080383433</v>
      </c>
      <c r="CA11" s="141">
        <f t="shared" si="29"/>
        <v>0.17604476103236374</v>
      </c>
      <c r="CB11" s="56">
        <f t="shared" si="30"/>
        <v>2.9328583138451685</v>
      </c>
      <c r="CC11" s="56">
        <f t="shared" si="31"/>
        <v>0.48880971897419484</v>
      </c>
      <c r="CD11" s="56">
        <f t="shared" si="32"/>
        <v>16.659730722154219</v>
      </c>
      <c r="CE11" s="56">
        <f t="shared" si="32"/>
        <v>2.7766217870257037</v>
      </c>
      <c r="CF11" s="56">
        <f t="shared" si="33"/>
        <v>36.667527620536802</v>
      </c>
      <c r="CG11" s="56">
        <f>CB11+CF11</f>
        <v>39.600385934381968</v>
      </c>
      <c r="CH11" s="56">
        <f>CF11+CD11</f>
        <v>53.327258342691024</v>
      </c>
      <c r="CI11" s="56">
        <f t="shared" si="36"/>
        <v>6.1112546034228021</v>
      </c>
      <c r="CJ11" s="56">
        <f>+CI11+CC11</f>
        <v>6.6000643223969968</v>
      </c>
      <c r="CK11" s="56">
        <f>+CI11+CE11</f>
        <v>8.8878763904485059</v>
      </c>
      <c r="CL11" s="51">
        <v>4</v>
      </c>
      <c r="CM11" s="56">
        <f t="shared" si="39"/>
        <v>3.6667527620536804</v>
      </c>
      <c r="CN11" s="56">
        <f t="shared" si="40"/>
        <v>998.57900219928581</v>
      </c>
      <c r="CO11" s="173">
        <f t="shared" si="41"/>
        <v>0.22009676045829532</v>
      </c>
      <c r="CP11" s="174">
        <f>55+314</f>
        <v>369</v>
      </c>
      <c r="CQ11" s="328"/>
      <c r="CR11" s="169">
        <v>15751</v>
      </c>
      <c r="CS11" s="270">
        <v>641</v>
      </c>
      <c r="CT11" s="269">
        <v>246</v>
      </c>
      <c r="CU11" s="133">
        <v>2.6</v>
      </c>
      <c r="CV11" s="269">
        <v>487</v>
      </c>
      <c r="CW11" s="269">
        <v>215</v>
      </c>
      <c r="CX11" s="133">
        <v>2.2799999999999998</v>
      </c>
      <c r="CY11" s="269">
        <v>484.41</v>
      </c>
      <c r="CZ11" s="269">
        <v>201</v>
      </c>
      <c r="DA11" s="133">
        <v>2.41</v>
      </c>
      <c r="DB11" s="269">
        <v>394.59</v>
      </c>
      <c r="DC11" s="269">
        <v>190</v>
      </c>
      <c r="DD11" s="133">
        <v>2.0767894736842103</v>
      </c>
      <c r="DE11" s="274">
        <v>2007</v>
      </c>
      <c r="DF11" s="274">
        <v>852</v>
      </c>
      <c r="DG11" s="273">
        <v>2.36</v>
      </c>
      <c r="DH11" s="272">
        <f>+DI11*DJ11</f>
        <v>972.18</v>
      </c>
      <c r="DI11" s="272">
        <v>22</v>
      </c>
      <c r="DJ11" s="296">
        <v>44.19</v>
      </c>
      <c r="DK11" s="272">
        <f>+DL11*DM11</f>
        <v>1136.94</v>
      </c>
      <c r="DL11" s="272">
        <v>21</v>
      </c>
      <c r="DM11" s="296">
        <v>54.14</v>
      </c>
      <c r="DN11" s="272">
        <f>+DO11*DP11</f>
        <v>913.07999999999993</v>
      </c>
      <c r="DO11" s="272">
        <v>21</v>
      </c>
      <c r="DP11" s="296">
        <v>43.48</v>
      </c>
      <c r="DQ11" s="272">
        <f>+DT11-DN11-DK11-DH11</f>
        <v>802.80000000000007</v>
      </c>
      <c r="DR11" s="272">
        <f>+DU11-DO11-DL11-DI11</f>
        <v>21</v>
      </c>
      <c r="DS11" s="296">
        <f>+DQ11/DR11</f>
        <v>38.228571428571435</v>
      </c>
      <c r="DT11" s="277">
        <f>+DU11*DV11</f>
        <v>3825</v>
      </c>
      <c r="DU11" s="277">
        <v>85</v>
      </c>
      <c r="DV11" s="297">
        <v>45</v>
      </c>
      <c r="DW11" s="99">
        <f>+DX11*DY11</f>
        <v>207.48</v>
      </c>
      <c r="DX11" s="99">
        <v>12</v>
      </c>
      <c r="DY11" s="298">
        <v>17.29</v>
      </c>
      <c r="DZ11" s="99">
        <f>+EA11*EB11</f>
        <v>222</v>
      </c>
      <c r="EA11" s="99">
        <v>12</v>
      </c>
      <c r="EB11" s="298">
        <v>18.5</v>
      </c>
      <c r="EC11" s="99">
        <f>+ED11*EE11</f>
        <v>195.12</v>
      </c>
      <c r="ED11" s="99">
        <v>12</v>
      </c>
      <c r="EE11" s="298">
        <v>16.260000000000002</v>
      </c>
      <c r="EF11" s="99">
        <f t="shared" si="50"/>
        <v>141.75000000000003</v>
      </c>
      <c r="EG11" s="99">
        <f t="shared" si="50"/>
        <v>9</v>
      </c>
      <c r="EH11" s="298">
        <f>+EF11/EG11</f>
        <v>15.750000000000004</v>
      </c>
      <c r="EI11" s="282">
        <f>+EJ11*EK11</f>
        <v>766.35</v>
      </c>
      <c r="EJ11" s="282">
        <v>45</v>
      </c>
      <c r="EK11" s="299">
        <v>17.03</v>
      </c>
      <c r="EL11" s="344">
        <v>48.66</v>
      </c>
      <c r="EM11" s="344">
        <v>2.62</v>
      </c>
      <c r="EN11" s="344">
        <v>4.97</v>
      </c>
      <c r="EO11" s="331">
        <v>2.9</v>
      </c>
      <c r="EP11" s="331">
        <v>2.75</v>
      </c>
      <c r="EQ11" s="331">
        <v>2.76</v>
      </c>
      <c r="ER11" s="331">
        <v>2.12</v>
      </c>
      <c r="ES11" s="331">
        <v>5.43</v>
      </c>
      <c r="ET11" s="331">
        <v>5.2</v>
      </c>
      <c r="EU11" s="331">
        <v>4.68</v>
      </c>
      <c r="EV11" s="331">
        <v>4.5999999999999996</v>
      </c>
      <c r="EW11" s="331">
        <v>48.49</v>
      </c>
      <c r="EX11" s="331">
        <v>57.85</v>
      </c>
      <c r="EY11" s="331">
        <v>46.64</v>
      </c>
      <c r="EZ11" s="331">
        <v>41.94</v>
      </c>
    </row>
    <row r="12" spans="1:164" s="225" customFormat="1" ht="26.25" customHeight="1" x14ac:dyDescent="0.3">
      <c r="A12" s="228" t="s">
        <v>20</v>
      </c>
      <c r="B12" s="228" t="s">
        <v>21</v>
      </c>
      <c r="C12" s="229">
        <v>2016</v>
      </c>
      <c r="D12" s="216">
        <v>766</v>
      </c>
      <c r="E12" s="216">
        <v>86</v>
      </c>
      <c r="F12" s="216">
        <v>44</v>
      </c>
      <c r="G12" s="216">
        <f t="shared" si="0"/>
        <v>257.66666666666669</v>
      </c>
      <c r="H12" s="216">
        <f t="shared" si="1"/>
        <v>1546</v>
      </c>
      <c r="I12" s="216">
        <v>5</v>
      </c>
      <c r="J12" s="216">
        <v>30</v>
      </c>
      <c r="K12" s="216">
        <v>2</v>
      </c>
      <c r="L12" s="216">
        <f t="shared" si="2"/>
        <v>32.833333333333329</v>
      </c>
      <c r="M12" s="216">
        <f t="shared" si="3"/>
        <v>197</v>
      </c>
      <c r="N12" s="216">
        <f t="shared" si="4"/>
        <v>290.5</v>
      </c>
      <c r="O12" s="216">
        <f t="shared" si="4"/>
        <v>1743</v>
      </c>
      <c r="P12" s="302">
        <f t="shared" si="5"/>
        <v>0.88697647733792317</v>
      </c>
      <c r="Q12" s="302">
        <f>D12/H12</f>
        <v>0.49547218628719275</v>
      </c>
      <c r="R12" s="302">
        <f t="shared" si="12"/>
        <v>0.33376455368693397</v>
      </c>
      <c r="S12" s="302">
        <f t="shared" si="13"/>
        <v>0.17076326002587322</v>
      </c>
      <c r="T12" s="209">
        <v>181</v>
      </c>
      <c r="U12" s="209">
        <v>75</v>
      </c>
      <c r="V12" s="209">
        <v>762</v>
      </c>
      <c r="W12" s="216">
        <f>+T12*6+U12*6+V12</f>
        <v>2298</v>
      </c>
      <c r="X12" s="216">
        <f t="shared" si="14"/>
        <v>-75</v>
      </c>
      <c r="Y12" s="216">
        <f t="shared" si="15"/>
        <v>383</v>
      </c>
      <c r="Z12" s="216">
        <f>Y12-Y11</f>
        <v>-12.5</v>
      </c>
      <c r="AA12" s="206">
        <f t="shared" si="42"/>
        <v>-3.1605562579013903E-2</v>
      </c>
      <c r="AB12" s="230"/>
      <c r="AC12" s="231">
        <v>310</v>
      </c>
      <c r="AD12" s="231">
        <v>59</v>
      </c>
      <c r="AE12" s="231">
        <v>68</v>
      </c>
      <c r="AF12" s="231">
        <v>0</v>
      </c>
      <c r="AG12" s="303">
        <f t="shared" si="47"/>
        <v>437</v>
      </c>
      <c r="AH12" s="231">
        <v>11</v>
      </c>
      <c r="AI12" s="231">
        <v>24</v>
      </c>
      <c r="AJ12" s="231">
        <v>81</v>
      </c>
      <c r="AK12" s="231">
        <v>0</v>
      </c>
      <c r="AL12" s="303">
        <f t="shared" si="48"/>
        <v>116</v>
      </c>
      <c r="AM12" s="231">
        <v>45</v>
      </c>
      <c r="AN12" s="231">
        <v>6</v>
      </c>
      <c r="AO12" s="231">
        <v>5</v>
      </c>
      <c r="AP12" s="231">
        <v>0</v>
      </c>
      <c r="AQ12" s="303">
        <f t="shared" si="8"/>
        <v>56</v>
      </c>
      <c r="AR12" s="303">
        <f t="shared" si="9"/>
        <v>1469</v>
      </c>
      <c r="AS12" s="303">
        <f t="shared" si="10"/>
        <v>244.83333333333331</v>
      </c>
      <c r="AT12" s="232">
        <v>178</v>
      </c>
      <c r="AU12" s="232">
        <v>2498</v>
      </c>
      <c r="AV12" s="232">
        <v>398</v>
      </c>
      <c r="AW12" s="232">
        <v>1780</v>
      </c>
      <c r="AX12" s="215">
        <f t="shared" si="11"/>
        <v>4854</v>
      </c>
      <c r="AY12" s="216">
        <f>SUM(AX10:AX12)</f>
        <v>16911</v>
      </c>
      <c r="AZ12" s="216">
        <f>SUM(AS10:AS12)</f>
        <v>507.16666666666669</v>
      </c>
      <c r="BA12" s="216">
        <f>SUM(AR10:AR12)</f>
        <v>3043</v>
      </c>
      <c r="BB12" s="215">
        <f>AY12/AZ12</f>
        <v>33.344068353598423</v>
      </c>
      <c r="BC12" s="215">
        <f>AY12/BA12</f>
        <v>5.5573447255997372</v>
      </c>
      <c r="BD12" s="230"/>
      <c r="BE12" s="212">
        <f>607+964+62</f>
        <v>1633</v>
      </c>
      <c r="BF12" s="200"/>
      <c r="BG12" s="200">
        <v>317</v>
      </c>
      <c r="BH12" s="212">
        <f>IF(BG12=0,BF12*$BT12,BG12)</f>
        <v>317</v>
      </c>
      <c r="BI12" s="200">
        <v>-882</v>
      </c>
      <c r="BJ12" s="200">
        <v>0</v>
      </c>
      <c r="BK12" s="212">
        <f>IF(BJ12=0,BI12*$BT12,BJ12)</f>
        <v>-662.47030884280582</v>
      </c>
      <c r="BL12" s="200">
        <v>0</v>
      </c>
      <c r="BM12" s="200">
        <v>189</v>
      </c>
      <c r="BN12" s="212">
        <f>IF(BM12=0,BL12*$BT12,BM12)</f>
        <v>189</v>
      </c>
      <c r="BO12" s="200">
        <v>1022</v>
      </c>
      <c r="BP12" s="200">
        <v>0</v>
      </c>
      <c r="BQ12" s="212">
        <f>IF(BP12=0,BO12*$BT12,BP12)</f>
        <v>767.62432611944166</v>
      </c>
      <c r="BR12" s="200">
        <v>7153</v>
      </c>
      <c r="BS12" s="200">
        <v>8447</v>
      </c>
      <c r="BT12" s="203">
        <f>+P12*BR12/BS12</f>
        <v>0.7511001234045418</v>
      </c>
      <c r="BU12" s="220">
        <f>BQ12+BN12+BK12+BH12+BE12</f>
        <v>2244.1540172766358</v>
      </c>
      <c r="BV12" s="215">
        <f>BU12/G12</f>
        <v>8.7095239997799574</v>
      </c>
      <c r="BW12" s="215">
        <f>BU12/H12</f>
        <v>1.4515873332966596</v>
      </c>
      <c r="BX12" s="230"/>
      <c r="BY12" s="304">
        <f>BU12+AX12</f>
        <v>7098.1540172766363</v>
      </c>
      <c r="BZ12" s="305">
        <f>(BY12*0.1)</f>
        <v>709.8154017276637</v>
      </c>
      <c r="CA12" s="306">
        <f>+BZ12/AX12</f>
        <v>0.14623308647047048</v>
      </c>
      <c r="CB12" s="305">
        <f>BZ12/G12</f>
        <v>2.7547816367179703</v>
      </c>
      <c r="CC12" s="305">
        <f>BZ12/H12</f>
        <v>0.4591302727863284</v>
      </c>
      <c r="CD12" s="305">
        <f>+$AX12/G12</f>
        <v>18.838292367399738</v>
      </c>
      <c r="CE12" s="305">
        <f>+$AX12/H12</f>
        <v>3.1397153945666236</v>
      </c>
      <c r="CF12" s="305">
        <f>BB12+BV12</f>
        <v>42.053592353378377</v>
      </c>
      <c r="CG12" s="305">
        <f>CB12+CF12</f>
        <v>44.808373990096349</v>
      </c>
      <c r="CH12" s="305">
        <f>CF12+CD12</f>
        <v>60.891884720778116</v>
      </c>
      <c r="CI12" s="305">
        <f>+BC12+BW12</f>
        <v>7.0089320588963968</v>
      </c>
      <c r="CJ12" s="305">
        <f>+CI12+CC12</f>
        <v>7.4680623316827255</v>
      </c>
      <c r="CK12" s="305">
        <f>+CI12+CE12</f>
        <v>10.14864745346302</v>
      </c>
      <c r="CL12" s="307">
        <v>4</v>
      </c>
      <c r="CM12" s="305">
        <f>+CF12/10</f>
        <v>4.2053592353378377</v>
      </c>
      <c r="CN12" s="305">
        <f>+CM12*G12</f>
        <v>1083.580896305383</v>
      </c>
      <c r="CO12" s="308">
        <f>+CN12/AX12</f>
        <v>0.22323463047082467</v>
      </c>
      <c r="CP12" s="309">
        <f>269+58</f>
        <v>327</v>
      </c>
      <c r="CQ12" s="329"/>
      <c r="CR12" s="325">
        <v>15323</v>
      </c>
      <c r="CS12" s="312">
        <v>641</v>
      </c>
      <c r="CT12" s="313">
        <v>210</v>
      </c>
      <c r="CU12" s="314">
        <v>1.75</v>
      </c>
      <c r="CV12" s="313">
        <v>487</v>
      </c>
      <c r="CW12" s="313">
        <v>199</v>
      </c>
      <c r="CX12" s="314">
        <v>1.61</v>
      </c>
      <c r="CY12" s="313">
        <f>+CZ12*DA12</f>
        <v>434.23999999999995</v>
      </c>
      <c r="CZ12" s="313">
        <v>184</v>
      </c>
      <c r="DA12" s="314">
        <v>2.36</v>
      </c>
      <c r="DB12" s="313">
        <v>394.59</v>
      </c>
      <c r="DC12" s="313">
        <v>190</v>
      </c>
      <c r="DD12" s="314">
        <v>2.0767894736842103</v>
      </c>
      <c r="DE12" s="315">
        <f>+DF12*DG12</f>
        <v>1562.64</v>
      </c>
      <c r="DF12" s="315">
        <v>766</v>
      </c>
      <c r="DG12" s="316">
        <v>2.04</v>
      </c>
      <c r="DH12" s="317">
        <f>+DI12*DJ12</f>
        <v>588.84</v>
      </c>
      <c r="DI12" s="317">
        <v>21</v>
      </c>
      <c r="DJ12" s="318">
        <v>28.04</v>
      </c>
      <c r="DK12" s="317">
        <f>+DL12*DM12</f>
        <v>805</v>
      </c>
      <c r="DL12" s="317">
        <v>20</v>
      </c>
      <c r="DM12" s="318">
        <v>40.25</v>
      </c>
      <c r="DN12" s="317">
        <f>+DO12*DP12</f>
        <v>922.24</v>
      </c>
      <c r="DO12" s="317">
        <v>22</v>
      </c>
      <c r="DP12" s="318">
        <v>41.92</v>
      </c>
      <c r="DQ12" s="317">
        <f>+DT12-DN12-DK12-DH12</f>
        <v>1004.0200000000006</v>
      </c>
      <c r="DR12" s="317">
        <f>+DU12-DO12-DL12-DI12</f>
        <v>22</v>
      </c>
      <c r="DS12" s="318">
        <f>+DQ12/DR12</f>
        <v>45.637272727272752</v>
      </c>
      <c r="DT12" s="319">
        <f>+DU12*DV12</f>
        <v>3320.1000000000004</v>
      </c>
      <c r="DU12" s="319">
        <v>85</v>
      </c>
      <c r="DV12" s="320">
        <v>39.06</v>
      </c>
      <c r="DW12" s="187">
        <f>+DX12*DY12</f>
        <v>164.78</v>
      </c>
      <c r="DX12" s="187">
        <v>11</v>
      </c>
      <c r="DY12" s="321">
        <v>14.98</v>
      </c>
      <c r="DZ12" s="187">
        <f>+EA12*EB12</f>
        <v>254.8</v>
      </c>
      <c r="EA12" s="187">
        <v>13</v>
      </c>
      <c r="EB12" s="321">
        <v>19.600000000000001</v>
      </c>
      <c r="EC12" s="187">
        <f>+ED12*EE12</f>
        <v>210.42999999999998</v>
      </c>
      <c r="ED12" s="187">
        <v>11</v>
      </c>
      <c r="EE12" s="321">
        <v>19.13</v>
      </c>
      <c r="EF12" s="187">
        <f>+EI12-EC12-DZ12-DW12</f>
        <v>220.07000000000008</v>
      </c>
      <c r="EG12" s="187">
        <f>+EJ12-ED12-EA12-DX12</f>
        <v>9</v>
      </c>
      <c r="EH12" s="321">
        <f>+EF12/EG12</f>
        <v>24.452222222222233</v>
      </c>
      <c r="EI12" s="326">
        <f>+EJ12*EK12</f>
        <v>850.08</v>
      </c>
      <c r="EJ12" s="322">
        <v>44</v>
      </c>
      <c r="EK12" s="323">
        <v>19.32</v>
      </c>
      <c r="EL12" s="345">
        <v>43.2</v>
      </c>
      <c r="EM12" s="345">
        <v>2.52</v>
      </c>
      <c r="EN12" s="345">
        <v>5.04</v>
      </c>
      <c r="EO12" s="332">
        <v>1.99</v>
      </c>
      <c r="EP12" s="332">
        <v>2.15</v>
      </c>
      <c r="EQ12" s="332">
        <v>2.88</v>
      </c>
      <c r="ER12" s="332">
        <v>3.04</v>
      </c>
      <c r="ES12" s="332">
        <v>4.0199999999999996</v>
      </c>
      <c r="ET12" s="332">
        <v>5</v>
      </c>
      <c r="EU12" s="332">
        <v>5.04</v>
      </c>
      <c r="EV12" s="332">
        <v>6.05</v>
      </c>
      <c r="EW12" s="332">
        <v>33.35</v>
      </c>
      <c r="EX12" s="332">
        <v>45.46</v>
      </c>
      <c r="EY12" s="332">
        <v>44.85</v>
      </c>
      <c r="EZ12" s="332">
        <v>49.14</v>
      </c>
      <c r="FA12" s="82"/>
      <c r="FB12" s="82"/>
      <c r="FC12" s="82"/>
      <c r="FD12" s="82"/>
      <c r="FE12" s="82"/>
      <c r="FF12" s="82"/>
      <c r="FG12" s="82"/>
      <c r="FH12" s="82"/>
    </row>
    <row r="13" spans="1:164" ht="26.25" customHeight="1" x14ac:dyDescent="0.3">
      <c r="A13" s="24" t="s">
        <v>26</v>
      </c>
      <c r="B13" s="24" t="s">
        <v>27</v>
      </c>
      <c r="C13" s="1">
        <v>2007</v>
      </c>
      <c r="D13" s="25">
        <v>280.90199999999999</v>
      </c>
      <c r="E13" s="25">
        <v>35.938000000000002</v>
      </c>
      <c r="F13" s="25">
        <v>0</v>
      </c>
      <c r="G13" s="25">
        <f>D13/6+E13+F13</f>
        <v>82.754999999999995</v>
      </c>
      <c r="H13" s="25">
        <f>D13+E13*6+F13*6</f>
        <v>496.53</v>
      </c>
      <c r="I13" s="25">
        <f>655.666-D13</f>
        <v>374.76400000000007</v>
      </c>
      <c r="J13" s="25">
        <f>95.574-E13</f>
        <v>59.635999999999996</v>
      </c>
      <c r="K13" s="25">
        <v>0</v>
      </c>
      <c r="L13" s="25">
        <f t="shared" si="2"/>
        <v>122.09666666666666</v>
      </c>
      <c r="M13" s="25">
        <f t="shared" si="3"/>
        <v>732.58</v>
      </c>
      <c r="N13" s="25">
        <f t="shared" si="4"/>
        <v>204.85166666666666</v>
      </c>
      <c r="O13" s="25">
        <f t="shared" si="4"/>
        <v>1229.1100000000001</v>
      </c>
      <c r="P13" s="26">
        <f t="shared" si="5"/>
        <v>0.40397523411248781</v>
      </c>
      <c r="Q13" s="26">
        <f t="shared" ref="Q13:Q18" si="51">D13/H13</f>
        <v>0.56573016736148873</v>
      </c>
      <c r="R13" s="26">
        <f t="shared" si="12"/>
        <v>0.43426983263851132</v>
      </c>
      <c r="S13" s="26">
        <f t="shared" si="13"/>
        <v>0</v>
      </c>
      <c r="T13" s="207">
        <v>156.655</v>
      </c>
      <c r="U13" s="207">
        <v>0</v>
      </c>
      <c r="V13" s="207">
        <v>727.85299999999995</v>
      </c>
      <c r="W13" s="25">
        <f t="shared" ref="W13:W20" si="52">+T13*6+U13*6+V13</f>
        <v>1667.7829999999999</v>
      </c>
      <c r="X13" s="25"/>
      <c r="Y13" s="25">
        <f>+T13+U13+V13/6</f>
        <v>277.96383333333335</v>
      </c>
      <c r="Z13" s="25"/>
      <c r="AA13" s="25"/>
      <c r="AB13" s="27"/>
      <c r="AC13" s="28">
        <v>8.8810000000000002</v>
      </c>
      <c r="AD13" s="28">
        <v>217.56</v>
      </c>
      <c r="AE13" s="28">
        <v>79.531999999999996</v>
      </c>
      <c r="AF13" s="28">
        <v>0</v>
      </c>
      <c r="AG13" s="29">
        <f t="shared" si="47"/>
        <v>305.97300000000001</v>
      </c>
      <c r="AH13" s="28">
        <v>5.5460000000000003</v>
      </c>
      <c r="AI13" s="28">
        <v>31.504000000000001</v>
      </c>
      <c r="AJ13" s="28">
        <v>56.954000000000001</v>
      </c>
      <c r="AK13" s="28">
        <v>0</v>
      </c>
      <c r="AL13" s="29">
        <f t="shared" si="48"/>
        <v>94.004000000000005</v>
      </c>
      <c r="AM13" s="28">
        <v>0</v>
      </c>
      <c r="AN13" s="28">
        <v>0</v>
      </c>
      <c r="AO13" s="28">
        <v>0</v>
      </c>
      <c r="AP13" s="28">
        <v>0</v>
      </c>
      <c r="AQ13" s="29">
        <f t="shared" si="8"/>
        <v>0</v>
      </c>
      <c r="AR13" s="29">
        <f t="shared" si="9"/>
        <v>869.99700000000007</v>
      </c>
      <c r="AS13" s="29">
        <f t="shared" si="10"/>
        <v>144.99950000000001</v>
      </c>
      <c r="AT13" s="30">
        <v>0</v>
      </c>
      <c r="AU13" s="30">
        <v>965.476</v>
      </c>
      <c r="AV13" s="30">
        <v>139.09200000000001</v>
      </c>
      <c r="AW13" s="30">
        <f>1762.74-20.577-271.183</f>
        <v>1470.98</v>
      </c>
      <c r="AX13" s="31">
        <f t="shared" si="11"/>
        <v>2575.5479999999998</v>
      </c>
      <c r="AY13" s="25"/>
      <c r="AZ13" s="25"/>
      <c r="BA13" s="25"/>
      <c r="BB13" s="31"/>
      <c r="BC13" s="31"/>
      <c r="BD13" s="27" t="s">
        <v>28</v>
      </c>
      <c r="BE13" s="32"/>
      <c r="BF13" s="33"/>
      <c r="BG13" s="34"/>
      <c r="BH13" s="32"/>
      <c r="BI13" s="33"/>
      <c r="BJ13" s="34"/>
      <c r="BK13" s="32"/>
      <c r="BL13" s="33"/>
      <c r="BM13" s="34"/>
      <c r="BN13" s="32"/>
      <c r="BO13" s="33"/>
      <c r="BP13" s="34"/>
      <c r="BQ13" s="32"/>
      <c r="BR13" s="34">
        <v>0</v>
      </c>
      <c r="BS13" s="34">
        <v>0</v>
      </c>
      <c r="BT13" s="34"/>
      <c r="BU13" s="35"/>
      <c r="BV13" s="31"/>
      <c r="BW13" s="31"/>
      <c r="BX13" s="27"/>
      <c r="BY13" s="88"/>
      <c r="BZ13" s="36"/>
      <c r="CA13" s="36"/>
      <c r="CB13" s="36"/>
      <c r="CC13" s="36"/>
      <c r="CD13" s="36"/>
      <c r="CE13" s="36"/>
      <c r="CF13" s="36"/>
      <c r="CG13" s="36"/>
      <c r="CH13" s="36"/>
      <c r="CI13" s="36"/>
      <c r="CJ13" s="36"/>
      <c r="CK13" s="36"/>
      <c r="CL13" s="37">
        <v>4</v>
      </c>
      <c r="CM13" s="37"/>
      <c r="CN13" s="37"/>
      <c r="CO13" s="37"/>
      <c r="CP13" s="327"/>
      <c r="CQ13" s="327"/>
      <c r="CS13" s="293"/>
      <c r="CT13" s="227"/>
      <c r="CU13" s="227"/>
      <c r="CV13" s="227"/>
      <c r="CW13" s="227"/>
      <c r="CX13" s="227"/>
      <c r="CY13" s="227"/>
      <c r="CZ13" s="227"/>
      <c r="DA13" s="227"/>
      <c r="DB13" s="227"/>
      <c r="DC13" s="227"/>
      <c r="DD13" s="227"/>
      <c r="DE13" s="275"/>
      <c r="DF13" s="275"/>
      <c r="DG13" s="275"/>
      <c r="DH13" s="226"/>
      <c r="DI13" s="226"/>
      <c r="DJ13" s="226"/>
      <c r="DK13" s="226"/>
      <c r="DL13" s="226"/>
      <c r="DM13" s="226"/>
      <c r="DN13" s="226"/>
      <c r="DO13" s="226"/>
      <c r="DP13" s="226"/>
      <c r="DQ13" s="226"/>
      <c r="DR13" s="226"/>
      <c r="DS13" s="226"/>
      <c r="DT13" s="278"/>
      <c r="DU13" s="278"/>
      <c r="DV13" s="278"/>
      <c r="DW13" s="280"/>
      <c r="DX13" s="280"/>
      <c r="DY13" s="280"/>
      <c r="DZ13" s="280"/>
      <c r="EA13" s="280"/>
      <c r="EB13" s="280"/>
      <c r="EC13" s="280"/>
      <c r="ED13" s="280"/>
      <c r="EE13" s="280"/>
      <c r="EF13" s="280"/>
      <c r="EG13" s="280"/>
      <c r="EH13" s="280"/>
      <c r="EI13" s="283"/>
      <c r="EJ13" s="283"/>
      <c r="EK13" s="294"/>
      <c r="EL13" s="343">
        <v>72.34</v>
      </c>
      <c r="EM13" s="343">
        <v>6.97</v>
      </c>
      <c r="EN13" s="343">
        <v>12.91</v>
      </c>
      <c r="EO13" s="116"/>
      <c r="EP13" s="116"/>
      <c r="EQ13" s="116"/>
      <c r="ER13" s="116"/>
      <c r="ES13" s="116"/>
      <c r="ET13" s="116"/>
      <c r="EU13" s="116"/>
      <c r="EV13" s="116"/>
      <c r="EW13" s="116"/>
      <c r="EX13" s="116"/>
      <c r="EY13" s="116"/>
      <c r="EZ13" s="116"/>
    </row>
    <row r="14" spans="1:164" ht="26.25" customHeight="1" x14ac:dyDescent="0.3">
      <c r="A14" s="24" t="s">
        <v>26</v>
      </c>
      <c r="B14" s="24" t="s">
        <v>27</v>
      </c>
      <c r="C14" s="1">
        <v>2008</v>
      </c>
      <c r="D14" s="25">
        <v>248.83500000000001</v>
      </c>
      <c r="E14" s="25">
        <v>35.057000000000002</v>
      </c>
      <c r="F14" s="25">
        <v>0</v>
      </c>
      <c r="G14" s="25">
        <f t="shared" si="0"/>
        <v>76.529500000000013</v>
      </c>
      <c r="H14" s="25">
        <f t="shared" si="1"/>
        <v>459.17700000000002</v>
      </c>
      <c r="I14" s="25">
        <f>592.045-D14</f>
        <v>343.20999999999992</v>
      </c>
      <c r="J14" s="25">
        <f>96.919-E14</f>
        <v>61.861999999999995</v>
      </c>
      <c r="K14" s="25">
        <v>0</v>
      </c>
      <c r="L14" s="25">
        <f t="shared" si="2"/>
        <v>119.06366666666665</v>
      </c>
      <c r="M14" s="25">
        <f t="shared" si="3"/>
        <v>714.38199999999983</v>
      </c>
      <c r="N14" s="25">
        <f t="shared" si="4"/>
        <v>195.59316666666666</v>
      </c>
      <c r="O14" s="25">
        <f t="shared" si="4"/>
        <v>1173.5589999999997</v>
      </c>
      <c r="P14" s="26">
        <f t="shared" si="5"/>
        <v>0.3912687815440043</v>
      </c>
      <c r="Q14" s="26">
        <f t="shared" si="51"/>
        <v>0.54191520916770652</v>
      </c>
      <c r="R14" s="26">
        <f t="shared" si="12"/>
        <v>0.45808479083229336</v>
      </c>
      <c r="S14" s="26">
        <f t="shared" si="13"/>
        <v>0</v>
      </c>
      <c r="T14" s="207">
        <v>151.24799999999999</v>
      </c>
      <c r="U14" s="207">
        <v>0</v>
      </c>
      <c r="V14" s="207">
        <v>670.19399999999996</v>
      </c>
      <c r="W14" s="25">
        <f t="shared" si="52"/>
        <v>1577.6819999999998</v>
      </c>
      <c r="X14" s="25">
        <f t="shared" ref="X14:X22" si="53">W14-W13</f>
        <v>-90.101000000000113</v>
      </c>
      <c r="Y14" s="25">
        <f t="shared" ref="Y14:Y22" si="54">+T14+U14+V14/6</f>
        <v>262.947</v>
      </c>
      <c r="Z14" s="25">
        <f t="shared" ref="Z14:Z22" si="55">Y14-Y13</f>
        <v>-15.016833333333352</v>
      </c>
      <c r="AA14" s="204">
        <f>+Z14/Y13</f>
        <v>-5.402441444720333E-2</v>
      </c>
      <c r="AB14" s="27"/>
      <c r="AC14" s="28">
        <v>-175.834</v>
      </c>
      <c r="AD14" s="28">
        <v>247.1</v>
      </c>
      <c r="AE14" s="28">
        <v>27.550999999999998</v>
      </c>
      <c r="AF14" s="28">
        <v>0</v>
      </c>
      <c r="AG14" s="29">
        <f t="shared" si="17"/>
        <v>98.816999999999993</v>
      </c>
      <c r="AH14" s="28">
        <v>-31.54</v>
      </c>
      <c r="AI14" s="28">
        <v>38.01</v>
      </c>
      <c r="AJ14" s="28">
        <v>1.919</v>
      </c>
      <c r="AK14" s="28">
        <v>0</v>
      </c>
      <c r="AL14" s="29">
        <f t="shared" ref="AL14:AL43" si="56">SUM(AH14:AK14)</f>
        <v>8.3889999999999993</v>
      </c>
      <c r="AM14" s="28">
        <v>0</v>
      </c>
      <c r="AN14" s="28">
        <v>0</v>
      </c>
      <c r="AO14" s="28">
        <v>0</v>
      </c>
      <c r="AP14" s="28">
        <v>0</v>
      </c>
      <c r="AQ14" s="29">
        <f t="shared" ref="AQ14:AQ19" si="57">SUM(AM14:AP14)</f>
        <v>0</v>
      </c>
      <c r="AR14" s="29">
        <f t="shared" si="9"/>
        <v>149.15099999999998</v>
      </c>
      <c r="AS14" s="29">
        <f t="shared" si="10"/>
        <v>24.858499999999999</v>
      </c>
      <c r="AT14" s="30">
        <v>75.436999999999998</v>
      </c>
      <c r="AU14" s="30">
        <v>69.641999999999996</v>
      </c>
      <c r="AV14" s="30">
        <v>382.01900000000001</v>
      </c>
      <c r="AW14" s="30">
        <f>2200.91-20.267-379.189</f>
        <v>1801.454</v>
      </c>
      <c r="AX14" s="31">
        <f t="shared" si="11"/>
        <v>2328.5519999999997</v>
      </c>
      <c r="AY14" s="25"/>
      <c r="AZ14" s="25"/>
      <c r="BA14" s="25"/>
      <c r="BC14" s="31"/>
      <c r="BD14" s="27" t="s">
        <v>28</v>
      </c>
      <c r="BE14" s="32"/>
      <c r="BF14" s="33"/>
      <c r="BG14" s="34"/>
      <c r="BH14" s="32"/>
      <c r="BI14" s="33"/>
      <c r="BJ14" s="34"/>
      <c r="BK14" s="32"/>
      <c r="BL14" s="33"/>
      <c r="BM14" s="34"/>
      <c r="BN14" s="32"/>
      <c r="BO14" s="33"/>
      <c r="BP14" s="34"/>
      <c r="BQ14" s="32"/>
      <c r="BR14" s="57">
        <v>0</v>
      </c>
      <c r="BS14" s="57">
        <v>0</v>
      </c>
      <c r="BT14" s="57"/>
      <c r="BU14" s="35"/>
      <c r="BV14" s="31"/>
      <c r="BW14" s="31"/>
      <c r="BX14" s="27"/>
      <c r="BY14" s="88"/>
      <c r="BZ14" s="38"/>
      <c r="CA14" s="36"/>
      <c r="CB14" s="38"/>
      <c r="CC14" s="36"/>
      <c r="CD14" s="36"/>
      <c r="CE14" s="36"/>
      <c r="CF14" s="89"/>
      <c r="CG14" s="36"/>
      <c r="CH14" s="36"/>
      <c r="CI14" s="36"/>
      <c r="CJ14" s="36"/>
      <c r="CK14" s="36"/>
      <c r="CL14" s="37">
        <v>4</v>
      </c>
      <c r="CM14" s="37"/>
      <c r="CN14" s="38"/>
      <c r="CO14" s="38"/>
      <c r="CP14" s="327"/>
      <c r="CQ14" s="327"/>
      <c r="CS14" s="271"/>
      <c r="CT14" s="133"/>
      <c r="CU14" s="133"/>
      <c r="CV14" s="133"/>
      <c r="CW14" s="133"/>
      <c r="CX14" s="133"/>
      <c r="CY14" s="133"/>
      <c r="CZ14" s="133"/>
      <c r="DA14" s="133"/>
      <c r="DB14" s="133"/>
      <c r="DC14" s="133"/>
      <c r="DD14" s="133"/>
      <c r="DE14" s="273"/>
      <c r="DF14" s="273"/>
      <c r="DG14" s="273"/>
      <c r="DH14" s="132"/>
      <c r="DI14" s="132"/>
      <c r="DJ14" s="132"/>
      <c r="DK14" s="132"/>
      <c r="DL14" s="132"/>
      <c r="DM14" s="132"/>
      <c r="DN14" s="132"/>
      <c r="DO14" s="132"/>
      <c r="DP14" s="132"/>
      <c r="DQ14" s="132"/>
      <c r="DR14" s="132"/>
      <c r="DS14" s="132"/>
      <c r="DT14" s="276"/>
      <c r="DU14" s="276"/>
      <c r="DV14" s="276"/>
      <c r="DW14" s="279"/>
      <c r="DX14" s="279"/>
      <c r="DY14" s="279"/>
      <c r="DZ14" s="279"/>
      <c r="EA14" s="279"/>
      <c r="EB14" s="279"/>
      <c r="EC14" s="279"/>
      <c r="ED14" s="279"/>
      <c r="EE14" s="279"/>
      <c r="EF14" s="279"/>
      <c r="EG14" s="279"/>
      <c r="EH14" s="279"/>
      <c r="EI14" s="281"/>
      <c r="EJ14" s="281"/>
      <c r="EK14" s="295"/>
      <c r="EL14" s="343">
        <v>99.67</v>
      </c>
      <c r="EM14" s="343">
        <v>8.86</v>
      </c>
      <c r="EN14" s="343">
        <v>15.2</v>
      </c>
      <c r="EO14" s="116"/>
      <c r="EP14" s="116"/>
      <c r="EQ14" s="116"/>
      <c r="ER14" s="116"/>
      <c r="ES14" s="116"/>
      <c r="ET14" s="116"/>
      <c r="EU14" s="116"/>
      <c r="EV14" s="116"/>
      <c r="EW14" s="116"/>
      <c r="EX14" s="116"/>
      <c r="EY14" s="116"/>
      <c r="EZ14" s="116"/>
    </row>
    <row r="15" spans="1:164" ht="26.25" customHeight="1" x14ac:dyDescent="0.3">
      <c r="A15" s="24" t="s">
        <v>26</v>
      </c>
      <c r="B15" s="24" t="s">
        <v>27</v>
      </c>
      <c r="C15" s="1">
        <v>2009</v>
      </c>
      <c r="D15" s="25">
        <v>243.12</v>
      </c>
      <c r="E15" s="25">
        <v>34.773000000000003</v>
      </c>
      <c r="F15" s="25">
        <v>0</v>
      </c>
      <c r="G15" s="25">
        <f>D15/6+E15+F15</f>
        <v>75.293000000000006</v>
      </c>
      <c r="H15" s="25">
        <f>D15+E15*6+F15*6</f>
        <v>451.75800000000004</v>
      </c>
      <c r="I15" s="25">
        <f>641.967-D15</f>
        <v>398.84699999999998</v>
      </c>
      <c r="J15" s="25">
        <f>105.92-E15</f>
        <v>71.146999999999991</v>
      </c>
      <c r="K15" s="25">
        <v>0</v>
      </c>
      <c r="L15" s="25">
        <f t="shared" si="2"/>
        <v>137.62149999999997</v>
      </c>
      <c r="M15" s="25">
        <f t="shared" si="3"/>
        <v>825.72899999999993</v>
      </c>
      <c r="N15" s="25">
        <f t="shared" si="4"/>
        <v>212.91449999999998</v>
      </c>
      <c r="O15" s="25">
        <f t="shared" si="4"/>
        <v>1277.4870000000001</v>
      </c>
      <c r="P15" s="26">
        <f t="shared" si="5"/>
        <v>0.35363021306674747</v>
      </c>
      <c r="Q15" s="26">
        <f t="shared" si="51"/>
        <v>0.53816423837541338</v>
      </c>
      <c r="R15" s="26">
        <f t="shared" si="12"/>
        <v>0.46183576162458662</v>
      </c>
      <c r="S15" s="26">
        <f t="shared" si="13"/>
        <v>0</v>
      </c>
      <c r="T15" s="207">
        <v>150.62700000000001</v>
      </c>
      <c r="U15" s="207">
        <v>0</v>
      </c>
      <c r="V15" s="207">
        <v>652.76599999999996</v>
      </c>
      <c r="W15" s="25">
        <f t="shared" si="52"/>
        <v>1556.528</v>
      </c>
      <c r="X15" s="25">
        <f t="shared" si="53"/>
        <v>-21.153999999999769</v>
      </c>
      <c r="Y15" s="25">
        <f t="shared" si="54"/>
        <v>259.42133333333334</v>
      </c>
      <c r="Z15" s="25">
        <f t="shared" si="55"/>
        <v>-3.5256666666666661</v>
      </c>
      <c r="AA15" s="204">
        <f>+Z15/Y14</f>
        <v>-1.3408278727905875E-2</v>
      </c>
      <c r="AB15" s="27"/>
      <c r="AC15" s="28">
        <v>-54.591000000000001</v>
      </c>
      <c r="AD15" s="28">
        <v>150.66800000000001</v>
      </c>
      <c r="AE15" s="28">
        <v>47.781999999999996</v>
      </c>
      <c r="AF15" s="28">
        <v>0</v>
      </c>
      <c r="AG15" s="29">
        <f t="shared" si="17"/>
        <v>143.85899999999998</v>
      </c>
      <c r="AH15" s="28">
        <v>12.981</v>
      </c>
      <c r="AI15" s="28">
        <v>17.641999999999999</v>
      </c>
      <c r="AJ15" s="28">
        <v>13.023</v>
      </c>
      <c r="AK15" s="28">
        <v>0</v>
      </c>
      <c r="AL15" s="29">
        <f t="shared" si="56"/>
        <v>43.646000000000001</v>
      </c>
      <c r="AM15" s="28">
        <v>0</v>
      </c>
      <c r="AN15" s="28">
        <v>0</v>
      </c>
      <c r="AO15" s="28">
        <v>0</v>
      </c>
      <c r="AP15" s="28">
        <v>0</v>
      </c>
      <c r="AQ15" s="29">
        <f t="shared" si="57"/>
        <v>0</v>
      </c>
      <c r="AR15" s="29">
        <f t="shared" si="9"/>
        <v>405.73499999999996</v>
      </c>
      <c r="AS15" s="29">
        <f t="shared" si="10"/>
        <v>67.622500000000002</v>
      </c>
      <c r="AT15" s="30">
        <v>0</v>
      </c>
      <c r="AU15" s="30">
        <v>196</v>
      </c>
      <c r="AV15" s="30">
        <v>233</v>
      </c>
      <c r="AW15" s="30">
        <f>892-15-182</f>
        <v>695</v>
      </c>
      <c r="AX15" s="31">
        <f t="shared" si="11"/>
        <v>1124</v>
      </c>
      <c r="AY15" s="25">
        <f t="shared" ref="AY15:AY20" si="58">SUM(AX13:AX15)</f>
        <v>6028.0999999999995</v>
      </c>
      <c r="AZ15" s="25">
        <f t="shared" ref="AZ15:AZ21" si="59">SUM(AS13:AS15)</f>
        <v>237.48050000000001</v>
      </c>
      <c r="BA15" s="25">
        <f t="shared" ref="BA15:BA21" si="60">SUM(AR13:AR15)</f>
        <v>1424.883</v>
      </c>
      <c r="BB15" s="31">
        <f t="shared" ref="BB15:BB20" si="61">AY15/AZ15</f>
        <v>25.383557807904225</v>
      </c>
      <c r="BC15" s="31">
        <f t="shared" ref="BC15:BC20" si="62">AY15/BA15</f>
        <v>4.2305929679840375</v>
      </c>
      <c r="BD15" s="27" t="s">
        <v>28</v>
      </c>
      <c r="BE15" s="32">
        <v>797.23800000000006</v>
      </c>
      <c r="BF15" s="34">
        <v>343.88299999999998</v>
      </c>
      <c r="BG15" s="34">
        <v>0</v>
      </c>
      <c r="BH15" s="32">
        <f>IF(BG15=0,BF15*$BT15,BG15)</f>
        <v>121.60741856003231</v>
      </c>
      <c r="BI15" s="34">
        <v>686</v>
      </c>
      <c r="BJ15" s="34">
        <v>0</v>
      </c>
      <c r="BK15" s="32">
        <f>IF(BJ15=0,BI15*$BT15,BJ15)</f>
        <v>242.59032616378877</v>
      </c>
      <c r="BL15" s="34">
        <v>0</v>
      </c>
      <c r="BM15" s="34">
        <v>106.792</v>
      </c>
      <c r="BN15" s="32">
        <f>IF(BM15=0,BL15*$BT15,BM15)</f>
        <v>106.792</v>
      </c>
      <c r="BO15" s="34">
        <v>309</v>
      </c>
      <c r="BP15" s="34">
        <v>0</v>
      </c>
      <c r="BQ15" s="32">
        <f>IF(BP15=0,BO15*$BT15,BP15)</f>
        <v>109.27173583762497</v>
      </c>
      <c r="BR15" s="34">
        <v>8574</v>
      </c>
      <c r="BS15" s="34">
        <v>8574</v>
      </c>
      <c r="BT15" s="201">
        <f t="shared" ref="BT15:BT22" si="63">+P15*BR15/BS15</f>
        <v>0.35363021306674747</v>
      </c>
      <c r="BU15" s="35">
        <f t="shared" ref="BU15:BU22" si="64">BQ15+BN15+BK15+BH15+BE15</f>
        <v>1377.499480561446</v>
      </c>
      <c r="BV15" s="31">
        <f t="shared" ref="BV15:BV22" si="65">BU15/G15</f>
        <v>18.295186545381988</v>
      </c>
      <c r="BW15" s="31">
        <f t="shared" ref="BW15:BW22" si="66">BU15/H15</f>
        <v>3.0491977575636646</v>
      </c>
      <c r="BX15" s="27" t="s">
        <v>29</v>
      </c>
      <c r="BY15" s="90">
        <f t="shared" ref="BY15:BY22" si="67">BU15+AX15</f>
        <v>2501.499480561446</v>
      </c>
      <c r="BZ15" s="38">
        <f t="shared" ref="BZ15:BZ20" si="68">(BY15*0.1)</f>
        <v>250.14994805614461</v>
      </c>
      <c r="CA15" s="140">
        <f t="shared" ref="CA15:CA22" si="69">+BZ15/AX15</f>
        <v>0.22255333456952367</v>
      </c>
      <c r="CB15" s="38">
        <f t="shared" ref="CB15:CB22" si="70">BZ15/G15</f>
        <v>3.322353313802672</v>
      </c>
      <c r="CC15" s="38">
        <f t="shared" ref="CC15:CC22" si="71">BZ15/H15</f>
        <v>0.55372555230044529</v>
      </c>
      <c r="CD15" s="38">
        <f t="shared" ref="CD15:CE21" si="72">+$AX15/G15</f>
        <v>14.928346592644733</v>
      </c>
      <c r="CE15" s="38">
        <f t="shared" si="72"/>
        <v>2.4880577654407889</v>
      </c>
      <c r="CF15" s="38">
        <f t="shared" ref="CF15:CF22" si="73">BB15+BV15</f>
        <v>43.678744353286213</v>
      </c>
      <c r="CG15" s="38">
        <f t="shared" ref="CG15:CG20" si="74">CB15+CF15</f>
        <v>47.001097667088885</v>
      </c>
      <c r="CH15" s="38">
        <f t="shared" ref="CH15:CH20" si="75">CF15+CD15</f>
        <v>58.607090945930949</v>
      </c>
      <c r="CI15" s="38">
        <f t="shared" ref="CI15:CI22" si="76">+BC15+BW15</f>
        <v>7.2797907255477021</v>
      </c>
      <c r="CJ15" s="38">
        <f t="shared" ref="CJ15:CJ20" si="77">+CI15+CC15</f>
        <v>7.8335162778481475</v>
      </c>
      <c r="CK15" s="38">
        <f t="shared" ref="CK15:CK20" si="78">+CI15+CE15</f>
        <v>9.7678484909884915</v>
      </c>
      <c r="CL15" s="37">
        <v>4</v>
      </c>
      <c r="CM15" s="38">
        <f t="shared" ref="CM15:CM22" si="79">+CF15/10</f>
        <v>4.3678744353286216</v>
      </c>
      <c r="CN15" s="38">
        <f t="shared" ref="CN15:CN22" si="80">+CM15*G15</f>
        <v>328.87036985919792</v>
      </c>
      <c r="CO15" s="145">
        <f t="shared" ref="CO15:CO22" si="81">+CN15/AX15</f>
        <v>0.29258929702775616</v>
      </c>
      <c r="CP15" s="62"/>
      <c r="CQ15" s="327">
        <v>1479</v>
      </c>
      <c r="CS15" s="271"/>
      <c r="CT15" s="133"/>
      <c r="CU15" s="133"/>
      <c r="CV15" s="133"/>
      <c r="CW15" s="133"/>
      <c r="CX15" s="133"/>
      <c r="CY15" s="133"/>
      <c r="CZ15" s="133"/>
      <c r="DA15" s="133"/>
      <c r="DB15" s="133"/>
      <c r="DC15" s="133"/>
      <c r="DD15" s="133"/>
      <c r="DE15" s="273"/>
      <c r="DF15" s="273"/>
      <c r="DG15" s="273"/>
      <c r="DH15" s="132"/>
      <c r="DI15" s="132"/>
      <c r="DJ15" s="132"/>
      <c r="DK15" s="132"/>
      <c r="DL15" s="132"/>
      <c r="DM15" s="132"/>
      <c r="DN15" s="132"/>
      <c r="DO15" s="132"/>
      <c r="DP15" s="132"/>
      <c r="DQ15" s="132"/>
      <c r="DR15" s="132"/>
      <c r="DS15" s="132"/>
      <c r="DT15" s="276"/>
      <c r="DU15" s="276"/>
      <c r="DV15" s="276"/>
      <c r="DW15" s="279"/>
      <c r="DX15" s="279"/>
      <c r="DY15" s="279"/>
      <c r="DZ15" s="279"/>
      <c r="EA15" s="279"/>
      <c r="EB15" s="279"/>
      <c r="EC15" s="279"/>
      <c r="ED15" s="279"/>
      <c r="EE15" s="279"/>
      <c r="EF15" s="279"/>
      <c r="EG15" s="279"/>
      <c r="EH15" s="279"/>
      <c r="EI15" s="281"/>
      <c r="EJ15" s="281"/>
      <c r="EK15" s="295"/>
      <c r="EL15" s="343">
        <v>61.95</v>
      </c>
      <c r="EM15" s="343">
        <v>3.94</v>
      </c>
      <c r="EN15" s="343">
        <v>8.99</v>
      </c>
      <c r="EO15" s="116"/>
      <c r="EP15" s="116"/>
      <c r="EQ15" s="116"/>
      <c r="ER15" s="116"/>
      <c r="ES15" s="116"/>
      <c r="ET15" s="116"/>
      <c r="EU15" s="116"/>
      <c r="EV15" s="116"/>
      <c r="EW15" s="116"/>
      <c r="EX15" s="116"/>
      <c r="EY15" s="116"/>
      <c r="EZ15" s="116"/>
    </row>
    <row r="16" spans="1:164" ht="26.25" customHeight="1" x14ac:dyDescent="0.3">
      <c r="A16" s="24" t="s">
        <v>26</v>
      </c>
      <c r="B16" s="24" t="s">
        <v>27</v>
      </c>
      <c r="C16" s="1">
        <v>2010</v>
      </c>
      <c r="D16" s="25">
        <v>266.75900000000001</v>
      </c>
      <c r="E16" s="25">
        <v>40.277999999999999</v>
      </c>
      <c r="F16" s="25">
        <v>0</v>
      </c>
      <c r="G16" s="25">
        <f t="shared" si="0"/>
        <v>84.737833333333327</v>
      </c>
      <c r="H16" s="25">
        <f t="shared" si="1"/>
        <v>508.42700000000002</v>
      </c>
      <c r="I16" s="25">
        <f>689.361-D16</f>
        <v>422.60199999999998</v>
      </c>
      <c r="J16" s="25">
        <f>125.143-E16</f>
        <v>84.865000000000009</v>
      </c>
      <c r="K16" s="25">
        <v>0</v>
      </c>
      <c r="L16" s="25">
        <f t="shared" si="2"/>
        <v>155.29866666666669</v>
      </c>
      <c r="M16" s="25">
        <f t="shared" si="3"/>
        <v>931.79200000000003</v>
      </c>
      <c r="N16" s="25">
        <f t="shared" si="4"/>
        <v>240.03650000000002</v>
      </c>
      <c r="O16" s="25">
        <f t="shared" si="4"/>
        <v>1440.2190000000001</v>
      </c>
      <c r="P16" s="26">
        <f t="shared" si="5"/>
        <v>0.35302061700338627</v>
      </c>
      <c r="Q16" s="26">
        <f t="shared" si="51"/>
        <v>0.52467512543590333</v>
      </c>
      <c r="R16" s="26">
        <f t="shared" si="12"/>
        <v>0.47532487456409672</v>
      </c>
      <c r="S16" s="26">
        <f t="shared" si="13"/>
        <v>0</v>
      </c>
      <c r="T16" s="207">
        <v>214.11699999999999</v>
      </c>
      <c r="U16" s="207">
        <v>30.361000000000001</v>
      </c>
      <c r="V16" s="207">
        <v>988.86900000000003</v>
      </c>
      <c r="W16" s="25">
        <f t="shared" si="52"/>
        <v>2455.7370000000001</v>
      </c>
      <c r="X16" s="25">
        <f t="shared" si="53"/>
        <v>899.20900000000006</v>
      </c>
      <c r="Y16" s="25">
        <f t="shared" si="54"/>
        <v>409.28949999999998</v>
      </c>
      <c r="Z16" s="25">
        <f t="shared" si="55"/>
        <v>149.86816666666664</v>
      </c>
      <c r="AA16" s="204">
        <f t="shared" ref="AA16:AA22" si="82">+Z16/Y15</f>
        <v>0.5777017824285845</v>
      </c>
      <c r="AB16" s="27"/>
      <c r="AC16" s="28">
        <v>47.988999999999997</v>
      </c>
      <c r="AD16" s="28">
        <v>951.654</v>
      </c>
      <c r="AE16" s="28">
        <v>102.18</v>
      </c>
      <c r="AF16" s="28">
        <v>0</v>
      </c>
      <c r="AG16" s="29">
        <f t="shared" si="17"/>
        <v>1101.8230000000001</v>
      </c>
      <c r="AH16" s="28">
        <v>7.5970000000000004</v>
      </c>
      <c r="AI16" s="28">
        <v>195.131</v>
      </c>
      <c r="AJ16" s="28">
        <v>72.927999999999997</v>
      </c>
      <c r="AK16" s="28">
        <v>0</v>
      </c>
      <c r="AL16" s="29">
        <f t="shared" si="56"/>
        <v>275.65600000000001</v>
      </c>
      <c r="AM16" s="28">
        <v>0</v>
      </c>
      <c r="AN16" s="28">
        <v>0</v>
      </c>
      <c r="AO16" s="28">
        <v>0</v>
      </c>
      <c r="AP16" s="28">
        <v>0</v>
      </c>
      <c r="AQ16" s="29">
        <f t="shared" si="57"/>
        <v>0</v>
      </c>
      <c r="AR16" s="29">
        <f t="shared" si="9"/>
        <v>2755.759</v>
      </c>
      <c r="AS16" s="29">
        <f t="shared" si="10"/>
        <v>459.29316666666671</v>
      </c>
      <c r="AT16" s="30">
        <v>2497</v>
      </c>
      <c r="AU16" s="30">
        <v>5604</v>
      </c>
      <c r="AV16" s="30">
        <v>261</v>
      </c>
      <c r="AW16" s="30">
        <f>1724-52-1099</f>
        <v>573</v>
      </c>
      <c r="AX16" s="31">
        <f t="shared" si="11"/>
        <v>8935</v>
      </c>
      <c r="AY16" s="25">
        <f t="shared" si="58"/>
        <v>12387.552</v>
      </c>
      <c r="AZ16" s="25">
        <f t="shared" si="59"/>
        <v>551.7741666666667</v>
      </c>
      <c r="BA16" s="25">
        <f t="shared" si="60"/>
        <v>3310.645</v>
      </c>
      <c r="BB16" s="31">
        <f t="shared" si="61"/>
        <v>22.450402263003127</v>
      </c>
      <c r="BC16" s="31">
        <f t="shared" si="62"/>
        <v>3.7417337105005215</v>
      </c>
      <c r="BD16" s="27" t="s">
        <v>28</v>
      </c>
      <c r="BE16" s="32">
        <f>924+42</f>
        <v>966</v>
      </c>
      <c r="BF16" s="34">
        <v>380</v>
      </c>
      <c r="BG16" s="34">
        <v>0</v>
      </c>
      <c r="BH16" s="32">
        <f t="shared" ref="BH16:BH22" si="83">IF(BG16=0,BF16*BT16,$BG16)</f>
        <v>134.14783446128675</v>
      </c>
      <c r="BI16" s="34">
        <v>1170</v>
      </c>
      <c r="BJ16" s="34">
        <v>0</v>
      </c>
      <c r="BK16" s="32">
        <f t="shared" ref="BK16:BK22" si="84">IF(BJ16=0,BI16*$BT16,BJ16)</f>
        <v>413.03412189396187</v>
      </c>
      <c r="BL16" s="34">
        <v>0</v>
      </c>
      <c r="BM16" s="34">
        <v>177</v>
      </c>
      <c r="BN16" s="32">
        <f t="shared" ref="BN16:BN22" si="85">IF(BM16=0,BL16*$BT16,BM16)</f>
        <v>177</v>
      </c>
      <c r="BO16" s="34">
        <v>345</v>
      </c>
      <c r="BP16" s="34">
        <v>0</v>
      </c>
      <c r="BQ16" s="32">
        <f t="shared" ref="BQ16:BQ22" si="86">IF(BP16=0,BO16*$BT16,BP16)</f>
        <v>121.79211286616824</v>
      </c>
      <c r="BR16" s="34">
        <v>12183</v>
      </c>
      <c r="BS16" s="34">
        <v>12183</v>
      </c>
      <c r="BT16" s="201">
        <f t="shared" si="63"/>
        <v>0.35302061700338622</v>
      </c>
      <c r="BU16" s="35">
        <f t="shared" si="64"/>
        <v>1811.9740692214168</v>
      </c>
      <c r="BV16" s="31">
        <f t="shared" si="65"/>
        <v>21.383294780427676</v>
      </c>
      <c r="BW16" s="31">
        <f t="shared" si="66"/>
        <v>3.563882463404612</v>
      </c>
      <c r="BX16" s="27"/>
      <c r="BY16" s="90">
        <f t="shared" si="67"/>
        <v>10746.974069221416</v>
      </c>
      <c r="BZ16" s="38">
        <f t="shared" si="68"/>
        <v>1074.6974069221417</v>
      </c>
      <c r="CA16" s="140">
        <f t="shared" si="69"/>
        <v>0.12027950832928279</v>
      </c>
      <c r="CB16" s="38">
        <f t="shared" si="70"/>
        <v>12.682616071791724</v>
      </c>
      <c r="CC16" s="38">
        <f t="shared" si="71"/>
        <v>2.1137693452986204</v>
      </c>
      <c r="CD16" s="38">
        <f t="shared" si="72"/>
        <v>105.44286593748956</v>
      </c>
      <c r="CE16" s="38">
        <f t="shared" si="72"/>
        <v>17.573810989581592</v>
      </c>
      <c r="CF16" s="38">
        <f t="shared" si="73"/>
        <v>43.833697043430803</v>
      </c>
      <c r="CG16" s="38">
        <f t="shared" si="74"/>
        <v>56.51631311522253</v>
      </c>
      <c r="CH16" s="38">
        <f t="shared" si="75"/>
        <v>149.27656298092035</v>
      </c>
      <c r="CI16" s="38">
        <f t="shared" si="76"/>
        <v>7.3056161739051335</v>
      </c>
      <c r="CJ16" s="38">
        <f t="shared" si="77"/>
        <v>9.4193855192037539</v>
      </c>
      <c r="CK16" s="38">
        <f t="shared" si="78"/>
        <v>24.879427163486724</v>
      </c>
      <c r="CL16" s="37">
        <v>4</v>
      </c>
      <c r="CM16" s="38">
        <f t="shared" si="79"/>
        <v>4.3833697043430799</v>
      </c>
      <c r="CN16" s="38">
        <f t="shared" si="80"/>
        <v>371.4372514450065</v>
      </c>
      <c r="CO16" s="145">
        <f t="shared" si="81"/>
        <v>4.1571041012311863E-2</v>
      </c>
      <c r="CP16" s="63"/>
      <c r="CQ16" s="327">
        <v>5048</v>
      </c>
      <c r="CS16" s="271"/>
      <c r="CT16" s="133"/>
      <c r="CU16" s="133"/>
      <c r="CV16" s="133"/>
      <c r="CW16" s="133"/>
      <c r="CX16" s="133"/>
      <c r="CY16" s="133"/>
      <c r="CZ16" s="133"/>
      <c r="DA16" s="133"/>
      <c r="DB16" s="133"/>
      <c r="DC16" s="133"/>
      <c r="DD16" s="133"/>
      <c r="DE16" s="273"/>
      <c r="DF16" s="273"/>
      <c r="DG16" s="273"/>
      <c r="DH16" s="132"/>
      <c r="DI16" s="132"/>
      <c r="DJ16" s="132"/>
      <c r="DK16" s="132"/>
      <c r="DL16" s="132"/>
      <c r="DM16" s="132"/>
      <c r="DN16" s="132"/>
      <c r="DO16" s="132"/>
      <c r="DP16" s="132"/>
      <c r="DQ16" s="132"/>
      <c r="DR16" s="132"/>
      <c r="DS16" s="132"/>
      <c r="DT16" s="276"/>
      <c r="DU16" s="276"/>
      <c r="DV16" s="276"/>
      <c r="DW16" s="279"/>
      <c r="DX16" s="279"/>
      <c r="DY16" s="279"/>
      <c r="DZ16" s="279"/>
      <c r="EA16" s="279"/>
      <c r="EB16" s="279"/>
      <c r="EC16" s="279"/>
      <c r="ED16" s="279"/>
      <c r="EE16" s="279"/>
      <c r="EF16" s="279"/>
      <c r="EG16" s="279"/>
      <c r="EH16" s="279"/>
      <c r="EI16" s="281"/>
      <c r="EJ16" s="281"/>
      <c r="EK16" s="295"/>
      <c r="EL16" s="343">
        <v>79.48</v>
      </c>
      <c r="EM16" s="343">
        <v>4.37</v>
      </c>
      <c r="EN16" s="343">
        <v>11.83</v>
      </c>
      <c r="EO16" s="116"/>
      <c r="EP16" s="116"/>
      <c r="EQ16" s="116"/>
      <c r="ER16" s="116"/>
      <c r="ES16" s="116"/>
      <c r="ET16" s="116"/>
      <c r="EU16" s="116"/>
      <c r="EV16" s="116"/>
      <c r="EW16" s="116"/>
      <c r="EX16" s="116"/>
      <c r="EY16" s="116"/>
      <c r="EZ16" s="116"/>
    </row>
    <row r="17" spans="1:164" ht="26.25" customHeight="1" x14ac:dyDescent="0.3">
      <c r="A17" s="24" t="s">
        <v>26</v>
      </c>
      <c r="B17" s="24" t="s">
        <v>27</v>
      </c>
      <c r="C17" s="1">
        <v>2011</v>
      </c>
      <c r="D17" s="25">
        <v>315.63099999999997</v>
      </c>
      <c r="E17" s="25">
        <v>43.587000000000003</v>
      </c>
      <c r="F17" s="25">
        <v>8.0709999999999997</v>
      </c>
      <c r="G17" s="25">
        <f t="shared" si="0"/>
        <v>104.26316666666666</v>
      </c>
      <c r="H17" s="25">
        <f t="shared" si="1"/>
        <v>625.57900000000006</v>
      </c>
      <c r="I17" s="25">
        <f>825.77-D17</f>
        <v>510.13900000000001</v>
      </c>
      <c r="J17" s="25">
        <f>124.08-E17</f>
        <v>80.492999999999995</v>
      </c>
      <c r="K17" s="25">
        <f>11.366-F17</f>
        <v>3.2949999999999999</v>
      </c>
      <c r="L17" s="25">
        <f t="shared" si="2"/>
        <v>168.81116666666665</v>
      </c>
      <c r="M17" s="25">
        <f t="shared" si="3"/>
        <v>1012.867</v>
      </c>
      <c r="N17" s="25">
        <f t="shared" si="4"/>
        <v>273.0743333333333</v>
      </c>
      <c r="O17" s="25">
        <f t="shared" si="4"/>
        <v>1638.4459999999999</v>
      </c>
      <c r="P17" s="26">
        <f t="shared" si="5"/>
        <v>0.38181240028661312</v>
      </c>
      <c r="Q17" s="26">
        <f t="shared" si="51"/>
        <v>0.50454219211322626</v>
      </c>
      <c r="R17" s="26">
        <f t="shared" si="12"/>
        <v>0.41804792040653543</v>
      </c>
      <c r="S17" s="26">
        <f t="shared" si="13"/>
        <v>7.7409887480238304E-2</v>
      </c>
      <c r="T17" s="207">
        <v>205.76300000000001</v>
      </c>
      <c r="U17" s="207">
        <v>52.542999999999999</v>
      </c>
      <c r="V17" s="207">
        <v>760.23800000000006</v>
      </c>
      <c r="W17" s="25">
        <f t="shared" si="52"/>
        <v>2310.0740000000001</v>
      </c>
      <c r="X17" s="25">
        <f t="shared" si="53"/>
        <v>-145.66300000000001</v>
      </c>
      <c r="Y17" s="25">
        <f t="shared" si="54"/>
        <v>385.01233333333334</v>
      </c>
      <c r="Z17" s="25">
        <f t="shared" si="55"/>
        <v>-24.277166666666631</v>
      </c>
      <c r="AA17" s="204">
        <f t="shared" si="82"/>
        <v>-5.9315390858222926E-2</v>
      </c>
      <c r="AB17" s="27"/>
      <c r="AC17" s="28">
        <v>-7.7160000000000002</v>
      </c>
      <c r="AD17" s="28">
        <v>169.506</v>
      </c>
      <c r="AE17" s="28">
        <v>67.594999999999999</v>
      </c>
      <c r="AF17" s="28">
        <v>0</v>
      </c>
      <c r="AG17" s="29">
        <f t="shared" si="17"/>
        <v>229.38499999999999</v>
      </c>
      <c r="AH17" s="28">
        <v>-8.9039999999999999</v>
      </c>
      <c r="AI17" s="28">
        <v>45.676000000000002</v>
      </c>
      <c r="AJ17" s="28">
        <v>5.0970000000000004</v>
      </c>
      <c r="AK17" s="28">
        <v>0</v>
      </c>
      <c r="AL17" s="29">
        <f t="shared" si="56"/>
        <v>41.869000000000007</v>
      </c>
      <c r="AM17" s="28">
        <v>1.7130000000000001</v>
      </c>
      <c r="AN17" s="28">
        <v>43.914999999999999</v>
      </c>
      <c r="AO17" s="28">
        <v>0.58599999999999997</v>
      </c>
      <c r="AP17" s="28">
        <v>0</v>
      </c>
      <c r="AQ17" s="29">
        <f t="shared" si="57"/>
        <v>46.213999999999999</v>
      </c>
      <c r="AR17" s="29">
        <f t="shared" si="9"/>
        <v>757.88300000000004</v>
      </c>
      <c r="AS17" s="29">
        <f t="shared" si="10"/>
        <v>126.31383333333333</v>
      </c>
      <c r="AT17" s="30">
        <v>116</v>
      </c>
      <c r="AU17" s="30">
        <v>368</v>
      </c>
      <c r="AV17" s="30">
        <v>418</v>
      </c>
      <c r="AW17" s="30">
        <f>2832-152-380</f>
        <v>2300</v>
      </c>
      <c r="AX17" s="31">
        <f t="shared" si="11"/>
        <v>3202</v>
      </c>
      <c r="AY17" s="25">
        <f t="shared" si="58"/>
        <v>13261</v>
      </c>
      <c r="AZ17" s="25">
        <f t="shared" si="59"/>
        <v>653.22950000000014</v>
      </c>
      <c r="BA17" s="25">
        <f t="shared" si="60"/>
        <v>3919.3770000000004</v>
      </c>
      <c r="BB17" s="31">
        <f t="shared" si="61"/>
        <v>20.300675336922165</v>
      </c>
      <c r="BC17" s="31">
        <f t="shared" si="62"/>
        <v>3.3834458894870276</v>
      </c>
      <c r="BD17" s="27" t="s">
        <v>28</v>
      </c>
      <c r="BE17" s="32">
        <f>1167+64</f>
        <v>1231</v>
      </c>
      <c r="BF17" s="34">
        <v>459</v>
      </c>
      <c r="BG17" s="34">
        <v>0</v>
      </c>
      <c r="BH17" s="32">
        <f t="shared" si="83"/>
        <v>175.25189173155542</v>
      </c>
      <c r="BI17" s="34">
        <v>1686</v>
      </c>
      <c r="BJ17" s="34">
        <v>0</v>
      </c>
      <c r="BK17" s="32">
        <f t="shared" si="84"/>
        <v>643.73570688322968</v>
      </c>
      <c r="BL17" s="34">
        <v>0</v>
      </c>
      <c r="BM17" s="34">
        <v>259</v>
      </c>
      <c r="BN17" s="32">
        <f t="shared" si="85"/>
        <v>259</v>
      </c>
      <c r="BO17" s="34">
        <v>433</v>
      </c>
      <c r="BP17" s="34">
        <v>0</v>
      </c>
      <c r="BQ17" s="32">
        <f t="shared" si="86"/>
        <v>165.32476932410347</v>
      </c>
      <c r="BR17" s="34">
        <v>16810</v>
      </c>
      <c r="BS17" s="34">
        <v>16810</v>
      </c>
      <c r="BT17" s="201">
        <f t="shared" si="63"/>
        <v>0.38181240028661312</v>
      </c>
      <c r="BU17" s="35">
        <f t="shared" si="64"/>
        <v>2474.3123679388882</v>
      </c>
      <c r="BV17" s="31">
        <f t="shared" si="65"/>
        <v>23.731413950329742</v>
      </c>
      <c r="BW17" s="31">
        <f t="shared" si="66"/>
        <v>3.9552356583882897</v>
      </c>
      <c r="BX17" s="27"/>
      <c r="BY17" s="90">
        <f t="shared" si="67"/>
        <v>5676.3123679388882</v>
      </c>
      <c r="BZ17" s="38">
        <f t="shared" si="68"/>
        <v>567.63123679388889</v>
      </c>
      <c r="CA17" s="140">
        <f t="shared" si="69"/>
        <v>0.17727396526979666</v>
      </c>
      <c r="CB17" s="38">
        <f t="shared" si="70"/>
        <v>5.4442163511935879</v>
      </c>
      <c r="CC17" s="38">
        <f t="shared" si="71"/>
        <v>0.90736939186559784</v>
      </c>
      <c r="CD17" s="38">
        <f t="shared" si="72"/>
        <v>30.710749561606129</v>
      </c>
      <c r="CE17" s="38">
        <f t="shared" si="72"/>
        <v>5.1184582602676878</v>
      </c>
      <c r="CF17" s="38">
        <f t="shared" si="73"/>
        <v>44.032089287251907</v>
      </c>
      <c r="CG17" s="38">
        <f t="shared" si="74"/>
        <v>49.476305638445496</v>
      </c>
      <c r="CH17" s="38">
        <f t="shared" si="75"/>
        <v>74.742838848858042</v>
      </c>
      <c r="CI17" s="38">
        <f t="shared" si="76"/>
        <v>7.3386815478753178</v>
      </c>
      <c r="CJ17" s="38">
        <f t="shared" si="77"/>
        <v>8.2460509397409147</v>
      </c>
      <c r="CK17" s="38">
        <f t="shared" si="78"/>
        <v>12.457139808143005</v>
      </c>
      <c r="CL17" s="37">
        <v>4</v>
      </c>
      <c r="CM17" s="38">
        <f t="shared" si="79"/>
        <v>4.4032089287251903</v>
      </c>
      <c r="CN17" s="38">
        <f t="shared" si="80"/>
        <v>459.0925064038293</v>
      </c>
      <c r="CO17" s="145">
        <f t="shared" si="81"/>
        <v>0.14337679775260129</v>
      </c>
      <c r="CP17" s="63"/>
      <c r="CQ17" s="327">
        <v>5530</v>
      </c>
      <c r="CS17" s="271"/>
      <c r="CT17" s="133"/>
      <c r="CU17" s="133"/>
      <c r="CV17" s="133"/>
      <c r="CW17" s="133"/>
      <c r="CX17" s="133"/>
      <c r="CY17" s="133"/>
      <c r="CZ17" s="133"/>
      <c r="DA17" s="133"/>
      <c r="DB17" s="133"/>
      <c r="DC17" s="133"/>
      <c r="DD17" s="133"/>
      <c r="DE17" s="273"/>
      <c r="DF17" s="273"/>
      <c r="DG17" s="273"/>
      <c r="DH17" s="132"/>
      <c r="DI17" s="132"/>
      <c r="DJ17" s="132"/>
      <c r="DK17" s="132"/>
      <c r="DL17" s="132"/>
      <c r="DM17" s="132"/>
      <c r="DN17" s="132"/>
      <c r="DO17" s="132"/>
      <c r="DP17" s="132"/>
      <c r="DQ17" s="132"/>
      <c r="DR17" s="132"/>
      <c r="DS17" s="132"/>
      <c r="DT17" s="276"/>
      <c r="DU17" s="276"/>
      <c r="DV17" s="276"/>
      <c r="DW17" s="279"/>
      <c r="DX17" s="279"/>
      <c r="DY17" s="279"/>
      <c r="DZ17" s="279"/>
      <c r="EA17" s="279"/>
      <c r="EB17" s="279"/>
      <c r="EC17" s="279"/>
      <c r="ED17" s="279"/>
      <c r="EE17" s="279"/>
      <c r="EF17" s="279"/>
      <c r="EG17" s="279"/>
      <c r="EH17" s="279"/>
      <c r="EI17" s="281"/>
      <c r="EJ17" s="281"/>
      <c r="EK17" s="295"/>
      <c r="EL17" s="343">
        <v>94.88</v>
      </c>
      <c r="EM17" s="343">
        <v>4</v>
      </c>
      <c r="EN17" s="343">
        <v>15.12</v>
      </c>
      <c r="EO17" s="116"/>
      <c r="EP17" s="116"/>
      <c r="EQ17" s="116"/>
      <c r="ER17" s="116"/>
      <c r="ES17" s="116"/>
      <c r="ET17" s="116"/>
      <c r="EU17" s="116"/>
      <c r="EV17" s="116"/>
      <c r="EW17" s="116"/>
      <c r="EX17" s="116"/>
      <c r="EY17" s="116"/>
      <c r="EZ17" s="116"/>
    </row>
    <row r="18" spans="1:164" ht="26.25" customHeight="1" x14ac:dyDescent="0.3">
      <c r="A18" s="39" t="s">
        <v>26</v>
      </c>
      <c r="B18" s="39" t="s">
        <v>27</v>
      </c>
      <c r="C18" s="22">
        <v>2012</v>
      </c>
      <c r="D18" s="25">
        <v>312.60000000000002</v>
      </c>
      <c r="E18" s="25">
        <v>49.088999999999999</v>
      </c>
      <c r="F18" s="25">
        <v>12.272</v>
      </c>
      <c r="G18" s="25">
        <f t="shared" si="0"/>
        <v>113.461</v>
      </c>
      <c r="H18" s="25">
        <f t="shared" si="1"/>
        <v>680.76600000000008</v>
      </c>
      <c r="I18" s="25">
        <f>839.403-D18</f>
        <v>526.803</v>
      </c>
      <c r="J18" s="25">
        <f>128.84-E18</f>
        <v>79.751000000000005</v>
      </c>
      <c r="K18" s="25">
        <f>16.256-F18</f>
        <v>3.984</v>
      </c>
      <c r="L18" s="25">
        <f t="shared" si="2"/>
        <v>171.53550000000001</v>
      </c>
      <c r="M18" s="25">
        <f t="shared" si="3"/>
        <v>1029.213</v>
      </c>
      <c r="N18" s="25">
        <f t="shared" si="4"/>
        <v>284.99650000000003</v>
      </c>
      <c r="O18" s="25">
        <f t="shared" si="4"/>
        <v>1709.979</v>
      </c>
      <c r="P18" s="26">
        <f t="shared" si="5"/>
        <v>0.39811366104496021</v>
      </c>
      <c r="Q18" s="26">
        <f t="shared" si="51"/>
        <v>0.45918861987819604</v>
      </c>
      <c r="R18" s="26">
        <f t="shared" si="12"/>
        <v>0.43265086681767301</v>
      </c>
      <c r="S18" s="26">
        <f t="shared" si="13"/>
        <v>0.10816051330413094</v>
      </c>
      <c r="T18" s="207">
        <v>203.06800000000001</v>
      </c>
      <c r="U18" s="207">
        <v>60.889000000000003</v>
      </c>
      <c r="V18" s="207">
        <v>832.32</v>
      </c>
      <c r="W18" s="25">
        <f t="shared" si="52"/>
        <v>2416.0620000000004</v>
      </c>
      <c r="X18" s="25">
        <f t="shared" si="53"/>
        <v>105.98800000000028</v>
      </c>
      <c r="Y18" s="25">
        <f t="shared" si="54"/>
        <v>402.67700000000002</v>
      </c>
      <c r="Z18" s="25">
        <f t="shared" si="55"/>
        <v>17.664666666666676</v>
      </c>
      <c r="AA18" s="204">
        <f t="shared" si="82"/>
        <v>4.5880781308304433E-2</v>
      </c>
      <c r="AB18" s="27"/>
      <c r="AC18" s="28">
        <v>-156.84</v>
      </c>
      <c r="AD18" s="28">
        <v>365.863</v>
      </c>
      <c r="AE18" s="28">
        <v>313.88499999999999</v>
      </c>
      <c r="AF18" s="28">
        <v>0</v>
      </c>
      <c r="AG18" s="29">
        <f t="shared" si="17"/>
        <v>522.90800000000002</v>
      </c>
      <c r="AH18" s="28">
        <v>-7.4740000000000002</v>
      </c>
      <c r="AI18" s="28">
        <v>84.656000000000006</v>
      </c>
      <c r="AJ18" s="28">
        <v>15.942</v>
      </c>
      <c r="AK18" s="28">
        <v>0</v>
      </c>
      <c r="AL18" s="29">
        <f t="shared" si="56"/>
        <v>93.123999999999995</v>
      </c>
      <c r="AM18" s="28">
        <v>-4.5590000000000002</v>
      </c>
      <c r="AN18" s="28">
        <v>71.965000000000003</v>
      </c>
      <c r="AO18" s="28">
        <v>0.23</v>
      </c>
      <c r="AP18" s="28">
        <v>0</v>
      </c>
      <c r="AQ18" s="29">
        <f t="shared" si="57"/>
        <v>67.63600000000001</v>
      </c>
      <c r="AR18" s="29">
        <f t="shared" si="9"/>
        <v>1487.4680000000001</v>
      </c>
      <c r="AS18" s="29">
        <f t="shared" si="10"/>
        <v>247.91133333333335</v>
      </c>
      <c r="AT18" s="30">
        <v>3334</v>
      </c>
      <c r="AU18" s="30">
        <v>1076</v>
      </c>
      <c r="AV18" s="30">
        <v>364</v>
      </c>
      <c r="AW18" s="30">
        <f>4465-215-473</f>
        <v>3777</v>
      </c>
      <c r="AX18" s="31">
        <f t="shared" si="11"/>
        <v>8551</v>
      </c>
      <c r="AY18" s="25">
        <f t="shared" si="58"/>
        <v>20688</v>
      </c>
      <c r="AZ18" s="25">
        <f t="shared" si="59"/>
        <v>833.51833333333343</v>
      </c>
      <c r="BA18" s="25">
        <f t="shared" si="60"/>
        <v>5001.1099999999997</v>
      </c>
      <c r="BB18" s="31">
        <f t="shared" si="61"/>
        <v>24.820089940033309</v>
      </c>
      <c r="BC18" s="31">
        <f t="shared" si="62"/>
        <v>4.1366816566722191</v>
      </c>
      <c r="BD18" s="27" t="s">
        <v>28</v>
      </c>
      <c r="BE18" s="40">
        <f>1386+69</f>
        <v>1455</v>
      </c>
      <c r="BF18" s="34">
        <v>515</v>
      </c>
      <c r="BG18" s="34">
        <v>0</v>
      </c>
      <c r="BH18" s="32">
        <f t="shared" si="83"/>
        <v>205.02853543815451</v>
      </c>
      <c r="BI18" s="34">
        <v>2590</v>
      </c>
      <c r="BJ18" s="34">
        <v>0</v>
      </c>
      <c r="BK18" s="32">
        <f t="shared" si="84"/>
        <v>1031.114382106447</v>
      </c>
      <c r="BL18" s="34">
        <v>0</v>
      </c>
      <c r="BM18" s="34">
        <v>292</v>
      </c>
      <c r="BN18" s="32">
        <f t="shared" si="85"/>
        <v>292</v>
      </c>
      <c r="BO18" s="34">
        <v>501</v>
      </c>
      <c r="BP18" s="34">
        <v>0</v>
      </c>
      <c r="BQ18" s="32">
        <f t="shared" si="86"/>
        <v>199.45494418352507</v>
      </c>
      <c r="BR18" s="34">
        <v>16564</v>
      </c>
      <c r="BS18" s="34">
        <v>16564</v>
      </c>
      <c r="BT18" s="201">
        <f t="shared" si="63"/>
        <v>0.39811366104496021</v>
      </c>
      <c r="BU18" s="35">
        <f t="shared" si="64"/>
        <v>3182.5978617281266</v>
      </c>
      <c r="BV18" s="31">
        <f t="shared" si="65"/>
        <v>28.05014817186634</v>
      </c>
      <c r="BW18" s="31">
        <f t="shared" si="66"/>
        <v>4.6750246953110555</v>
      </c>
      <c r="BX18" s="27"/>
      <c r="BY18" s="90">
        <f t="shared" si="67"/>
        <v>11733.597861728127</v>
      </c>
      <c r="BZ18" s="38">
        <f t="shared" si="68"/>
        <v>1173.3597861728128</v>
      </c>
      <c r="CA18" s="140">
        <f t="shared" si="69"/>
        <v>0.13721901370281989</v>
      </c>
      <c r="CB18" s="38">
        <f t="shared" si="70"/>
        <v>10.341525159947585</v>
      </c>
      <c r="CC18" s="38">
        <f t="shared" si="71"/>
        <v>1.7235875266579306</v>
      </c>
      <c r="CD18" s="38">
        <f t="shared" si="72"/>
        <v>75.365103427609483</v>
      </c>
      <c r="CE18" s="38">
        <f t="shared" si="72"/>
        <v>12.560850571268247</v>
      </c>
      <c r="CF18" s="38">
        <f t="shared" si="73"/>
        <v>52.870238111899653</v>
      </c>
      <c r="CG18" s="38">
        <f t="shared" si="74"/>
        <v>63.211763271847239</v>
      </c>
      <c r="CH18" s="38">
        <f t="shared" si="75"/>
        <v>128.23534153950914</v>
      </c>
      <c r="CI18" s="38">
        <f t="shared" si="76"/>
        <v>8.8117063519832755</v>
      </c>
      <c r="CJ18" s="38">
        <f t="shared" si="77"/>
        <v>10.535293878641205</v>
      </c>
      <c r="CK18" s="38">
        <f t="shared" si="78"/>
        <v>21.372556923251523</v>
      </c>
      <c r="CL18" s="37">
        <v>4</v>
      </c>
      <c r="CM18" s="38">
        <f t="shared" si="79"/>
        <v>5.2870238111899654</v>
      </c>
      <c r="CN18" s="38">
        <f t="shared" si="80"/>
        <v>599.87100864142462</v>
      </c>
      <c r="CO18" s="145">
        <f t="shared" si="81"/>
        <v>7.0152146958417094E-2</v>
      </c>
      <c r="CP18" s="63"/>
      <c r="CQ18" s="327">
        <v>8754</v>
      </c>
      <c r="CS18" s="270">
        <v>292</v>
      </c>
      <c r="CT18" s="269">
        <f>+CS18/CU18</f>
        <v>74.300254452926211</v>
      </c>
      <c r="CU18" s="133">
        <v>3.93</v>
      </c>
      <c r="CV18" s="269">
        <v>257</v>
      </c>
      <c r="CW18" s="269">
        <f>+CV18/CX18</f>
        <v>77.177177177177171</v>
      </c>
      <c r="CX18" s="133">
        <v>3.33</v>
      </c>
      <c r="CY18" s="269">
        <v>288</v>
      </c>
      <c r="CZ18" s="269">
        <f>+CY18/DA18</f>
        <v>79.338842975206617</v>
      </c>
      <c r="DA18" s="133">
        <v>3.63</v>
      </c>
      <c r="DB18" s="269">
        <f>+DE18-CS18-CV18-CY18</f>
        <v>332.12400000000025</v>
      </c>
      <c r="DC18" s="269">
        <f>+DF18-CT18-CW18-CZ18</f>
        <v>81.783725394690052</v>
      </c>
      <c r="DD18" s="133">
        <f>+DB18/DC18</f>
        <v>4.0610035602702439</v>
      </c>
      <c r="DE18" s="274">
        <f>+DF18*DG18</f>
        <v>1169.1240000000003</v>
      </c>
      <c r="DF18" s="274">
        <v>312.60000000000002</v>
      </c>
      <c r="DG18" s="273">
        <v>3.74</v>
      </c>
      <c r="DH18" s="272">
        <f>+DI18*DJ18</f>
        <v>1172.9941344000001</v>
      </c>
      <c r="DI18" s="272">
        <f>0.125928*91.25</f>
        <v>11.490930000000001</v>
      </c>
      <c r="DJ18" s="296">
        <v>102.08</v>
      </c>
      <c r="DK18" s="272">
        <f>+DL18*DM18</f>
        <v>1099.468773475</v>
      </c>
      <c r="DL18" s="272">
        <f>0.127678*91.25</f>
        <v>11.650617500000001</v>
      </c>
      <c r="DM18" s="296">
        <v>94.37</v>
      </c>
      <c r="DN18" s="272">
        <f>+DO18*DP18</f>
        <v>1133.291545925</v>
      </c>
      <c r="DO18" s="272">
        <f>0.133001*91.25</f>
        <v>12.136341250000001</v>
      </c>
      <c r="DP18" s="296">
        <v>93.38</v>
      </c>
      <c r="DQ18" s="272">
        <f t="shared" ref="DQ18:DR22" si="87">+DT18-DN18-DK18-DH18</f>
        <v>1257.7635462000001</v>
      </c>
      <c r="DR18" s="272">
        <f t="shared" si="87"/>
        <v>13.822111249999997</v>
      </c>
      <c r="DS18" s="296">
        <f>+DQ18/DR18</f>
        <v>90.996485518809607</v>
      </c>
      <c r="DT18" s="277">
        <f>+DU18*DV18</f>
        <v>4663.518</v>
      </c>
      <c r="DU18" s="277">
        <v>49.1</v>
      </c>
      <c r="DV18" s="297">
        <v>94.98</v>
      </c>
      <c r="DW18" s="99">
        <f>+DX18*DY18</f>
        <v>88.604906137499995</v>
      </c>
      <c r="DX18" s="99">
        <f>0.022317*91.25</f>
        <v>2.0364262499999999</v>
      </c>
      <c r="DY18" s="298">
        <v>43.51</v>
      </c>
      <c r="DZ18" s="99">
        <f>+EA18*EB18</f>
        <v>89.301661937500015</v>
      </c>
      <c r="EA18" s="99">
        <f>0.029665*91.25</f>
        <v>2.7069312500000002</v>
      </c>
      <c r="EB18" s="298">
        <v>32.99</v>
      </c>
      <c r="EC18" s="99">
        <f>+ED18*EE18</f>
        <v>100.73060124999999</v>
      </c>
      <c r="ED18" s="99">
        <f>0.039076*91.25</f>
        <v>3.5656849999999998</v>
      </c>
      <c r="EE18" s="298">
        <v>28.25</v>
      </c>
      <c r="EF18" s="99">
        <f t="shared" ref="EF18:EG20" si="88">+EI18-EC18-DZ18-DW18</f>
        <v>117.29983067500001</v>
      </c>
      <c r="EG18" s="99">
        <f t="shared" si="88"/>
        <v>3.9909575000000004</v>
      </c>
      <c r="EH18" s="298">
        <f>+EF18/EG18</f>
        <v>29.391400603739829</v>
      </c>
      <c r="EI18" s="282">
        <f>+EJ18*EK18</f>
        <v>395.93700000000001</v>
      </c>
      <c r="EJ18" s="282">
        <v>12.3</v>
      </c>
      <c r="EK18" s="299">
        <v>32.19</v>
      </c>
      <c r="EL18" s="344">
        <v>94.05</v>
      </c>
      <c r="EM18" s="344">
        <v>2.75</v>
      </c>
      <c r="EN18" s="344">
        <v>10.98</v>
      </c>
      <c r="EO18" s="74">
        <v>2.41</v>
      </c>
      <c r="EP18" s="74">
        <v>2.2799999999999998</v>
      </c>
      <c r="EQ18" s="74">
        <v>2.88</v>
      </c>
      <c r="ER18" s="74">
        <v>3.4</v>
      </c>
      <c r="ES18" s="74">
        <v>13.14</v>
      </c>
      <c r="ET18" s="74">
        <v>10.75</v>
      </c>
      <c r="EU18" s="74">
        <v>9.9600000000000009</v>
      </c>
      <c r="EV18" s="74">
        <v>10.08</v>
      </c>
      <c r="EW18" s="74">
        <v>102.98</v>
      </c>
      <c r="EX18" s="74">
        <v>93.29</v>
      </c>
      <c r="EY18" s="74">
        <v>92.17</v>
      </c>
      <c r="EZ18" s="74">
        <v>88.01</v>
      </c>
    </row>
    <row r="19" spans="1:164" ht="26.25" customHeight="1" x14ac:dyDescent="0.3">
      <c r="A19" s="43" t="s">
        <v>26</v>
      </c>
      <c r="B19" s="43" t="s">
        <v>27</v>
      </c>
      <c r="C19" s="53">
        <v>2013</v>
      </c>
      <c r="D19" s="52">
        <v>285.18700000000001</v>
      </c>
      <c r="E19" s="52">
        <v>53.621000000000002</v>
      </c>
      <c r="F19" s="52">
        <v>19.922000000000001</v>
      </c>
      <c r="G19" s="52">
        <f t="shared" si="0"/>
        <v>121.07416666666667</v>
      </c>
      <c r="H19" s="52">
        <f t="shared" si="1"/>
        <v>726.44500000000005</v>
      </c>
      <c r="I19" s="52">
        <f>765.437-D19</f>
        <v>480.25</v>
      </c>
      <c r="J19" s="52">
        <f>126.515-E19</f>
        <v>72.894000000000005</v>
      </c>
      <c r="K19" s="52">
        <f>23.595-F19</f>
        <v>3.6729999999999983</v>
      </c>
      <c r="L19" s="52">
        <f t="shared" si="2"/>
        <v>156.60866666666669</v>
      </c>
      <c r="M19" s="52">
        <f t="shared" si="3"/>
        <v>939.65200000000004</v>
      </c>
      <c r="N19" s="52">
        <f t="shared" si="4"/>
        <v>277.68283333333335</v>
      </c>
      <c r="O19" s="52">
        <f t="shared" si="4"/>
        <v>1666.0970000000002</v>
      </c>
      <c r="P19" s="54">
        <f t="shared" si="5"/>
        <v>0.43601603027914937</v>
      </c>
      <c r="Q19" s="54">
        <f t="shared" ref="Q19:Q29" si="89">D19/H19</f>
        <v>0.39257892889344687</v>
      </c>
      <c r="R19" s="54">
        <f t="shared" si="12"/>
        <v>0.44287729972675149</v>
      </c>
      <c r="S19" s="54">
        <f t="shared" si="13"/>
        <v>0.16454377137980164</v>
      </c>
      <c r="T19" s="208">
        <v>195.83500000000001</v>
      </c>
      <c r="U19" s="208">
        <v>63.537999999999997</v>
      </c>
      <c r="V19" s="208">
        <v>667.16</v>
      </c>
      <c r="W19" s="52">
        <f t="shared" si="52"/>
        <v>2223.3979999999997</v>
      </c>
      <c r="X19" s="52">
        <f t="shared" si="53"/>
        <v>-192.66400000000067</v>
      </c>
      <c r="Y19" s="52">
        <f t="shared" si="54"/>
        <v>370.56633333333332</v>
      </c>
      <c r="Z19" s="52">
        <f t="shared" si="55"/>
        <v>-32.110666666666702</v>
      </c>
      <c r="AA19" s="205">
        <f t="shared" si="82"/>
        <v>-7.9742986727989684E-2</v>
      </c>
      <c r="AB19" s="44"/>
      <c r="AC19" s="45">
        <v>61.247</v>
      </c>
      <c r="AD19" s="45">
        <v>306.721</v>
      </c>
      <c r="AE19" s="45">
        <v>0.85499999999999998</v>
      </c>
      <c r="AF19" s="45">
        <v>0</v>
      </c>
      <c r="AG19" s="55">
        <f t="shared" si="17"/>
        <v>368.82300000000004</v>
      </c>
      <c r="AH19" s="45">
        <v>1.6830000000000001</v>
      </c>
      <c r="AI19" s="45">
        <v>133.227</v>
      </c>
      <c r="AJ19" s="45">
        <v>8.5000000000000006E-2</v>
      </c>
      <c r="AK19" s="45">
        <v>0</v>
      </c>
      <c r="AL19" s="55">
        <f t="shared" si="56"/>
        <v>134.995</v>
      </c>
      <c r="AM19" s="45">
        <v>1.591</v>
      </c>
      <c r="AN19" s="45">
        <v>69.230999999999995</v>
      </c>
      <c r="AO19" s="45">
        <v>4.4999999999999998E-2</v>
      </c>
      <c r="AP19" s="45">
        <v>0</v>
      </c>
      <c r="AQ19" s="55">
        <f t="shared" si="57"/>
        <v>70.86699999999999</v>
      </c>
      <c r="AR19" s="55">
        <f t="shared" si="9"/>
        <v>1603.9950000000001</v>
      </c>
      <c r="AS19" s="55">
        <f t="shared" si="10"/>
        <v>267.33249999999998</v>
      </c>
      <c r="AT19" s="46">
        <v>195</v>
      </c>
      <c r="AU19" s="46">
        <v>17</v>
      </c>
      <c r="AV19" s="46">
        <v>562</v>
      </c>
      <c r="AW19" s="46">
        <f>5435-239-480</f>
        <v>4716</v>
      </c>
      <c r="AX19" s="50">
        <f t="shared" si="11"/>
        <v>5490</v>
      </c>
      <c r="AY19" s="52">
        <f t="shared" si="58"/>
        <v>17243</v>
      </c>
      <c r="AZ19" s="52">
        <f t="shared" si="59"/>
        <v>641.55766666666659</v>
      </c>
      <c r="BA19" s="52">
        <f t="shared" si="60"/>
        <v>3849.3460000000005</v>
      </c>
      <c r="BB19" s="50">
        <f t="shared" si="61"/>
        <v>26.87677335318779</v>
      </c>
      <c r="BC19" s="50">
        <f t="shared" si="62"/>
        <v>4.4794622255312975</v>
      </c>
      <c r="BD19" s="44" t="s">
        <v>28</v>
      </c>
      <c r="BE19" s="47">
        <f>1320+84</f>
        <v>1404</v>
      </c>
      <c r="BF19" s="48">
        <v>482</v>
      </c>
      <c r="BG19" s="48">
        <v>0</v>
      </c>
      <c r="BH19" s="32">
        <f t="shared" si="83"/>
        <v>210.15972659454999</v>
      </c>
      <c r="BI19" s="48">
        <v>1766</v>
      </c>
      <c r="BJ19" s="48">
        <v>0</v>
      </c>
      <c r="BK19" s="47">
        <f t="shared" si="84"/>
        <v>770.00430947297775</v>
      </c>
      <c r="BL19" s="48">
        <v>0</v>
      </c>
      <c r="BM19" s="48">
        <v>324</v>
      </c>
      <c r="BN19" s="47">
        <f t="shared" si="85"/>
        <v>324</v>
      </c>
      <c r="BO19" s="48">
        <v>560</v>
      </c>
      <c r="BP19" s="48">
        <v>0</v>
      </c>
      <c r="BQ19" s="47">
        <f t="shared" si="86"/>
        <v>244.16897695632366</v>
      </c>
      <c r="BR19" s="48">
        <v>14771</v>
      </c>
      <c r="BS19" s="48">
        <v>14771</v>
      </c>
      <c r="BT19" s="202">
        <f t="shared" si="63"/>
        <v>0.43601603027914937</v>
      </c>
      <c r="BU19" s="49">
        <f t="shared" si="64"/>
        <v>2952.333013023851</v>
      </c>
      <c r="BV19" s="50">
        <f t="shared" si="65"/>
        <v>24.384499966471111</v>
      </c>
      <c r="BW19" s="50">
        <f t="shared" si="66"/>
        <v>4.0640833277451849</v>
      </c>
      <c r="BX19" s="44"/>
      <c r="BY19" s="91">
        <f t="shared" si="67"/>
        <v>8442.3330130238501</v>
      </c>
      <c r="BZ19" s="56">
        <f t="shared" si="68"/>
        <v>844.23330130238503</v>
      </c>
      <c r="CA19" s="141">
        <f t="shared" si="69"/>
        <v>0.15377655761427778</v>
      </c>
      <c r="CB19" s="56">
        <f t="shared" si="70"/>
        <v>6.9728607228548753</v>
      </c>
      <c r="CC19" s="56">
        <f t="shared" si="71"/>
        <v>1.162143453809146</v>
      </c>
      <c r="CD19" s="56">
        <f t="shared" si="72"/>
        <v>45.34410726207765</v>
      </c>
      <c r="CE19" s="56">
        <f t="shared" si="72"/>
        <v>7.5573512103462752</v>
      </c>
      <c r="CF19" s="56">
        <f t="shared" si="73"/>
        <v>51.261273319658898</v>
      </c>
      <c r="CG19" s="56">
        <f t="shared" si="74"/>
        <v>58.234134042513773</v>
      </c>
      <c r="CH19" s="56">
        <f t="shared" si="75"/>
        <v>96.60538058173654</v>
      </c>
      <c r="CI19" s="56">
        <f t="shared" si="76"/>
        <v>8.5435455532764824</v>
      </c>
      <c r="CJ19" s="38">
        <f t="shared" si="77"/>
        <v>9.7056890070856277</v>
      </c>
      <c r="CK19" s="56">
        <f t="shared" si="78"/>
        <v>16.100896763622757</v>
      </c>
      <c r="CL19" s="51">
        <v>4</v>
      </c>
      <c r="CM19" s="56">
        <f t="shared" si="79"/>
        <v>5.1261273319658898</v>
      </c>
      <c r="CN19" s="56">
        <f t="shared" si="80"/>
        <v>620.64159494499347</v>
      </c>
      <c r="CO19" s="145">
        <f t="shared" si="81"/>
        <v>0.11304947084608261</v>
      </c>
      <c r="CP19" s="63"/>
      <c r="CQ19" s="327">
        <v>8363</v>
      </c>
      <c r="CS19" s="270">
        <v>288</v>
      </c>
      <c r="CT19" s="269">
        <f>+CS19/CU19</f>
        <v>76.8</v>
      </c>
      <c r="CU19" s="133">
        <v>3.75</v>
      </c>
      <c r="CV19" s="269">
        <v>319</v>
      </c>
      <c r="CW19" s="269">
        <f>0.860661*91.25</f>
        <v>78.535316249999994</v>
      </c>
      <c r="CX19" s="133">
        <v>4.07</v>
      </c>
      <c r="CY19" s="269">
        <v>286</v>
      </c>
      <c r="CZ19" s="269">
        <f>0.830423*91.25</f>
        <v>75.776098750000003</v>
      </c>
      <c r="DA19" s="133">
        <v>3.75</v>
      </c>
      <c r="DB19" s="269">
        <f>+DE19-CS19-CV19-CY19</f>
        <v>202.16799999999989</v>
      </c>
      <c r="DC19" s="269">
        <f>+DF19-CT19-CW19-CZ19</f>
        <v>54.088584999999981</v>
      </c>
      <c r="DD19" s="133">
        <f>+DB19/DC19</f>
        <v>3.7377202601990782</v>
      </c>
      <c r="DE19" s="274">
        <f>+DF19*DG19</f>
        <v>1095.1679999999999</v>
      </c>
      <c r="DF19" s="274">
        <v>285.2</v>
      </c>
      <c r="DG19" s="273">
        <v>3.84</v>
      </c>
      <c r="DH19" s="272">
        <f>+DI19*DJ19</f>
        <v>1286.4324944375001</v>
      </c>
      <c r="DI19" s="272">
        <f>0.149263*91.25</f>
        <v>13.62024875</v>
      </c>
      <c r="DJ19" s="296">
        <v>94.45</v>
      </c>
      <c r="DK19" s="272">
        <f>+DL19*DM19</f>
        <v>1394.29340445</v>
      </c>
      <c r="DL19" s="272">
        <f>0.157298*91.25</f>
        <v>14.3534425</v>
      </c>
      <c r="DM19" s="296">
        <v>97.14</v>
      </c>
      <c r="DN19" s="272">
        <f>+DO19*DP19</f>
        <v>1580.6029167499998</v>
      </c>
      <c r="DO19" s="272">
        <f>0.16369*91.25</f>
        <v>14.936712500000001</v>
      </c>
      <c r="DP19" s="296">
        <v>105.82</v>
      </c>
      <c r="DQ19" s="272">
        <f t="shared" si="87"/>
        <v>998.97518436250016</v>
      </c>
      <c r="DR19" s="272">
        <f t="shared" si="87"/>
        <v>10.689596250000003</v>
      </c>
      <c r="DS19" s="296">
        <f>+DQ19/DR19</f>
        <v>93.453032368972771</v>
      </c>
      <c r="DT19" s="277">
        <f>+DU19*DV19</f>
        <v>5260.3040000000001</v>
      </c>
      <c r="DU19" s="277">
        <v>53.6</v>
      </c>
      <c r="DV19" s="297">
        <v>98.14</v>
      </c>
      <c r="DW19" s="99">
        <f>+DX19*DY19</f>
        <v>121.2804699</v>
      </c>
      <c r="DX19" s="99">
        <f>0.049299*91.25</f>
        <v>4.49853375</v>
      </c>
      <c r="DY19" s="298">
        <v>26.96</v>
      </c>
      <c r="DZ19" s="99">
        <f>+EA19*EB19</f>
        <v>127.26275055000001</v>
      </c>
      <c r="EA19" s="99">
        <f>0.057018*91.25</f>
        <v>5.2028924999999999</v>
      </c>
      <c r="EB19" s="298">
        <v>24.46</v>
      </c>
      <c r="EC19" s="99">
        <f>+ED19*EE19</f>
        <v>148.24999687499999</v>
      </c>
      <c r="ED19" s="99">
        <f>0.05751*91.25</f>
        <v>5.2477875000000003</v>
      </c>
      <c r="EE19" s="298">
        <v>28.25</v>
      </c>
      <c r="EF19" s="99">
        <f t="shared" si="88"/>
        <v>146.27778267499991</v>
      </c>
      <c r="EG19" s="99">
        <f t="shared" si="88"/>
        <v>4.9507862499999966</v>
      </c>
      <c r="EH19" s="298">
        <f>+EF19/EG19</f>
        <v>29.54637410875899</v>
      </c>
      <c r="EI19" s="282">
        <f>+EJ19*EK19</f>
        <v>543.07099999999991</v>
      </c>
      <c r="EJ19" s="282">
        <v>19.899999999999999</v>
      </c>
      <c r="EK19" s="299">
        <v>27.29</v>
      </c>
      <c r="EL19" s="344">
        <v>97.98</v>
      </c>
      <c r="EM19" s="344">
        <v>3.73</v>
      </c>
      <c r="EN19" s="344">
        <v>9.94</v>
      </c>
      <c r="EO19" s="74">
        <v>3.49</v>
      </c>
      <c r="EP19" s="74">
        <v>4.01</v>
      </c>
      <c r="EQ19" s="74">
        <v>3.56</v>
      </c>
      <c r="ER19" s="74">
        <v>3.85</v>
      </c>
      <c r="ES19" s="74">
        <v>9.77</v>
      </c>
      <c r="ET19" s="74">
        <v>9.39</v>
      </c>
      <c r="EU19" s="74">
        <v>10.01</v>
      </c>
      <c r="EV19" s="74">
        <v>10.53</v>
      </c>
      <c r="EW19" s="74">
        <v>94.33</v>
      </c>
      <c r="EX19" s="74">
        <v>94.05</v>
      </c>
      <c r="EY19" s="74">
        <v>105.83</v>
      </c>
      <c r="EZ19" s="74">
        <v>97.44</v>
      </c>
    </row>
    <row r="20" spans="1:164" ht="26.25" customHeight="1" x14ac:dyDescent="0.3">
      <c r="A20" s="43" t="s">
        <v>26</v>
      </c>
      <c r="B20" s="43" t="s">
        <v>27</v>
      </c>
      <c r="C20" s="53">
        <v>2014</v>
      </c>
      <c r="D20" s="52">
        <v>215.82900000000001</v>
      </c>
      <c r="E20" s="52">
        <v>48.789000000000001</v>
      </c>
      <c r="F20" s="52">
        <v>21.463999999999999</v>
      </c>
      <c r="G20" s="52">
        <f t="shared" si="0"/>
        <v>106.22450000000001</v>
      </c>
      <c r="H20" s="52">
        <f t="shared" si="1"/>
        <v>637.34699999999998</v>
      </c>
      <c r="I20" s="52">
        <f>591.42-D20</f>
        <v>375.59099999999995</v>
      </c>
      <c r="J20" s="52">
        <f>118.412-E20</f>
        <v>69.623000000000005</v>
      </c>
      <c r="K20" s="52">
        <f>24.595-F20</f>
        <v>3.1310000000000002</v>
      </c>
      <c r="L20" s="52">
        <f t="shared" si="2"/>
        <v>135.35249999999999</v>
      </c>
      <c r="M20" s="52">
        <f t="shared" si="3"/>
        <v>812.11500000000001</v>
      </c>
      <c r="N20" s="52">
        <f t="shared" si="4"/>
        <v>241.577</v>
      </c>
      <c r="O20" s="52">
        <f t="shared" si="4"/>
        <v>1449.462</v>
      </c>
      <c r="P20" s="54">
        <f t="shared" si="5"/>
        <v>0.43971280378512856</v>
      </c>
      <c r="Q20" s="54">
        <f t="shared" si="89"/>
        <v>0.33863656689370158</v>
      </c>
      <c r="R20" s="54">
        <f t="shared" si="12"/>
        <v>0.45930082043219783</v>
      </c>
      <c r="S20" s="54">
        <f t="shared" si="13"/>
        <v>0.20206261267410058</v>
      </c>
      <c r="T20" s="208">
        <v>170.125</v>
      </c>
      <c r="U20" s="208">
        <v>69.828000000000003</v>
      </c>
      <c r="V20" s="208">
        <v>580.29899999999998</v>
      </c>
      <c r="W20" s="52">
        <f t="shared" si="52"/>
        <v>2020.0170000000001</v>
      </c>
      <c r="X20" s="52">
        <f t="shared" si="53"/>
        <v>-203.38099999999963</v>
      </c>
      <c r="Y20" s="52">
        <f t="shared" si="54"/>
        <v>336.66949999999997</v>
      </c>
      <c r="Z20" s="52">
        <f t="shared" si="55"/>
        <v>-33.896833333333348</v>
      </c>
      <c r="AA20" s="205">
        <f t="shared" si="82"/>
        <v>-9.1473051608394043E-2</v>
      </c>
      <c r="AB20" s="44"/>
      <c r="AC20" s="45">
        <v>35.909999999999997</v>
      </c>
      <c r="AD20" s="45">
        <v>203.31800000000001</v>
      </c>
      <c r="AE20" s="45">
        <v>21.337</v>
      </c>
      <c r="AF20" s="45">
        <v>0</v>
      </c>
      <c r="AG20" s="55">
        <f>SUM(AC20:AF20)</f>
        <v>260.565</v>
      </c>
      <c r="AH20" s="45">
        <v>3.0830000000000002</v>
      </c>
      <c r="AI20" s="45">
        <v>57.011000000000003</v>
      </c>
      <c r="AJ20" s="45">
        <v>15.24</v>
      </c>
      <c r="AK20" s="45">
        <v>0</v>
      </c>
      <c r="AL20" s="55">
        <f t="shared" si="56"/>
        <v>75.334000000000003</v>
      </c>
      <c r="AM20" s="45">
        <v>2.5939999999999999</v>
      </c>
      <c r="AN20" s="45">
        <v>47.515999999999998</v>
      </c>
      <c r="AO20" s="45">
        <v>2.9159999999999999</v>
      </c>
      <c r="AP20" s="45">
        <v>0</v>
      </c>
      <c r="AQ20" s="55">
        <f>SUM(AM20:AP20)</f>
        <v>53.025999999999996</v>
      </c>
      <c r="AR20" s="55">
        <f t="shared" si="9"/>
        <v>1030.7249999999999</v>
      </c>
      <c r="AS20" s="55">
        <f t="shared" si="10"/>
        <v>171.78750000000002</v>
      </c>
      <c r="AT20" s="46">
        <v>1221</v>
      </c>
      <c r="AU20" s="46">
        <v>102</v>
      </c>
      <c r="AV20" s="46">
        <v>505</v>
      </c>
      <c r="AW20" s="46">
        <f>5078-17-43</f>
        <v>5018</v>
      </c>
      <c r="AX20" s="50">
        <f t="shared" si="11"/>
        <v>6846</v>
      </c>
      <c r="AY20" s="52">
        <f t="shared" si="58"/>
        <v>20887</v>
      </c>
      <c r="AZ20" s="52">
        <f t="shared" si="59"/>
        <v>687.03133333333335</v>
      </c>
      <c r="BA20" s="52">
        <f t="shared" si="60"/>
        <v>4122.1880000000001</v>
      </c>
      <c r="BB20" s="50">
        <f t="shared" si="61"/>
        <v>30.401815734750574</v>
      </c>
      <c r="BC20" s="50">
        <f t="shared" si="62"/>
        <v>5.0669692891250957</v>
      </c>
      <c r="BD20" s="44"/>
      <c r="BE20" s="47">
        <f>921+93</f>
        <v>1014</v>
      </c>
      <c r="BF20" s="48">
        <v>453</v>
      </c>
      <c r="BG20" s="48">
        <v>0</v>
      </c>
      <c r="BH20" s="32">
        <f t="shared" si="83"/>
        <v>199.1899001146632</v>
      </c>
      <c r="BI20" s="48">
        <v>1357</v>
      </c>
      <c r="BJ20" s="48">
        <v>0</v>
      </c>
      <c r="BK20" s="47">
        <f t="shared" si="84"/>
        <v>596.69027473641938</v>
      </c>
      <c r="BL20" s="48">
        <v>0</v>
      </c>
      <c r="BM20" s="48">
        <v>350</v>
      </c>
      <c r="BN20" s="47">
        <f t="shared" si="85"/>
        <v>350</v>
      </c>
      <c r="BO20" s="48">
        <v>499</v>
      </c>
      <c r="BP20" s="48">
        <v>0</v>
      </c>
      <c r="BQ20" s="47">
        <f t="shared" si="86"/>
        <v>219.41668908877912</v>
      </c>
      <c r="BR20" s="48">
        <v>12691</v>
      </c>
      <c r="BS20" s="48">
        <v>12691</v>
      </c>
      <c r="BT20" s="202">
        <f t="shared" si="63"/>
        <v>0.4397128037851285</v>
      </c>
      <c r="BU20" s="49">
        <f t="shared" si="64"/>
        <v>2379.2968639398614</v>
      </c>
      <c r="BV20" s="50">
        <f t="shared" si="65"/>
        <v>22.398757950753932</v>
      </c>
      <c r="BW20" s="50">
        <f t="shared" si="66"/>
        <v>3.7331263251256561</v>
      </c>
      <c r="BX20" s="44"/>
      <c r="BY20" s="91">
        <f t="shared" si="67"/>
        <v>9225.2968639398605</v>
      </c>
      <c r="BZ20" s="56">
        <f t="shared" si="68"/>
        <v>922.52968639398614</v>
      </c>
      <c r="CA20" s="141">
        <f t="shared" si="69"/>
        <v>0.13475455541834447</v>
      </c>
      <c r="CB20" s="56">
        <f t="shared" si="70"/>
        <v>8.6847166745335223</v>
      </c>
      <c r="CC20" s="56">
        <f t="shared" si="71"/>
        <v>1.4474527790889204</v>
      </c>
      <c r="CD20" s="56">
        <f t="shared" si="72"/>
        <v>64.448408794581283</v>
      </c>
      <c r="CE20" s="56">
        <f t="shared" si="72"/>
        <v>10.741401465763548</v>
      </c>
      <c r="CF20" s="56">
        <f t="shared" si="73"/>
        <v>52.800573685504503</v>
      </c>
      <c r="CG20" s="56">
        <f t="shared" si="74"/>
        <v>61.485290360038022</v>
      </c>
      <c r="CH20" s="56">
        <f t="shared" si="75"/>
        <v>117.24898248008579</v>
      </c>
      <c r="CI20" s="56">
        <f t="shared" si="76"/>
        <v>8.8000956142507523</v>
      </c>
      <c r="CJ20" s="56">
        <f t="shared" si="77"/>
        <v>10.247548393339672</v>
      </c>
      <c r="CK20" s="56">
        <f t="shared" si="78"/>
        <v>19.541497080014302</v>
      </c>
      <c r="CL20" s="51">
        <v>4</v>
      </c>
      <c r="CM20" s="56">
        <f t="shared" si="79"/>
        <v>5.2800573685504499</v>
      </c>
      <c r="CN20" s="56">
        <f t="shared" si="80"/>
        <v>560.87145394558729</v>
      </c>
      <c r="CO20" s="173">
        <f t="shared" si="81"/>
        <v>8.1926884888341697E-2</v>
      </c>
      <c r="CP20" s="174"/>
      <c r="CQ20" s="328">
        <v>7014</v>
      </c>
      <c r="CR20" s="82"/>
      <c r="CS20" s="270">
        <v>266</v>
      </c>
      <c r="CT20" s="269">
        <f>+CS20/CU20</f>
        <v>53.413654618473892</v>
      </c>
      <c r="CU20" s="133">
        <v>4.9800000000000004</v>
      </c>
      <c r="CV20" s="269">
        <v>245</v>
      </c>
      <c r="CW20" s="269">
        <f>0.59697*91.25</f>
        <v>54.473512499999998</v>
      </c>
      <c r="CX20" s="133">
        <v>4.51</v>
      </c>
      <c r="CY20" s="269">
        <v>210</v>
      </c>
      <c r="CZ20" s="269">
        <f>0.579188*91.25</f>
        <v>52.850905000000004</v>
      </c>
      <c r="DA20" s="133">
        <v>3.94</v>
      </c>
      <c r="DB20" s="269">
        <f>+DE20-CS20-CV20-CZ20</f>
        <v>370.56309500000009</v>
      </c>
      <c r="DC20" s="269">
        <f>+DF20-CT20-CW20-CZ20</f>
        <v>55.061927881526124</v>
      </c>
      <c r="DD20" s="133">
        <f>+DB20/DC20</f>
        <v>6.7299331726510081</v>
      </c>
      <c r="DE20" s="274">
        <f>+DF20*DG20</f>
        <v>934.4140000000001</v>
      </c>
      <c r="DF20" s="274">
        <v>215.8</v>
      </c>
      <c r="DG20" s="273">
        <v>4.33</v>
      </c>
      <c r="DH20" s="272">
        <f>+DI20*DJ20</f>
        <v>1107.3071466500003</v>
      </c>
      <c r="DI20" s="272">
        <f>0.127951*91.25</f>
        <v>11.675528750000002</v>
      </c>
      <c r="DJ20" s="296">
        <v>94.84</v>
      </c>
      <c r="DK20" s="272">
        <f>+DL20*DM20</f>
        <v>1147.7599360499999</v>
      </c>
      <c r="DL20" s="272">
        <f>0.130398*91.25</f>
        <v>11.898817499999998</v>
      </c>
      <c r="DM20" s="296">
        <v>96.46</v>
      </c>
      <c r="DN20" s="272">
        <f>+DO20*DP20</f>
        <v>1112.6589171750002</v>
      </c>
      <c r="DO20" s="272">
        <f>0.133613*91.25</f>
        <v>12.192186250000001</v>
      </c>
      <c r="DP20" s="296">
        <v>91.26</v>
      </c>
      <c r="DQ20" s="272">
        <f t="shared" si="87"/>
        <v>885.24500012500016</v>
      </c>
      <c r="DR20" s="272">
        <f t="shared" si="87"/>
        <v>12.933467500000003</v>
      </c>
      <c r="DS20" s="296">
        <f>+DQ20/DR20</f>
        <v>68.446068320425283</v>
      </c>
      <c r="DT20" s="277">
        <f>+DU20*DV20</f>
        <v>4252.9710000000005</v>
      </c>
      <c r="DU20" s="277">
        <v>48.7</v>
      </c>
      <c r="DV20" s="297">
        <v>87.33</v>
      </c>
      <c r="DW20" s="99">
        <f>+DX20*DY20</f>
        <v>149.57660367</v>
      </c>
      <c r="DX20" s="99">
        <f>0.053058*91.5</f>
        <v>4.8548070000000001</v>
      </c>
      <c r="DY20" s="298">
        <v>30.81</v>
      </c>
      <c r="DZ20" s="99">
        <f>+EA20*EB20</f>
        <v>139.81986562500001</v>
      </c>
      <c r="EA20" s="99">
        <f>0.056625*91.25</f>
        <v>5.16703125</v>
      </c>
      <c r="EB20" s="298">
        <v>27.06</v>
      </c>
      <c r="EC20" s="99">
        <f>+ED20*EE20</f>
        <v>148.60789579999999</v>
      </c>
      <c r="ED20" s="99">
        <f>0.061712*91.25</f>
        <v>5.6312199999999999</v>
      </c>
      <c r="EE20" s="298">
        <v>26.39</v>
      </c>
      <c r="EF20" s="99">
        <f t="shared" si="88"/>
        <v>111.75063490500003</v>
      </c>
      <c r="EG20" s="99">
        <f t="shared" si="88"/>
        <v>5.84694175</v>
      </c>
      <c r="EH20" s="298">
        <f>+EF20/EG20</f>
        <v>19.112664309508475</v>
      </c>
      <c r="EI20" s="282">
        <f>+EJ20*EK20</f>
        <v>549.755</v>
      </c>
      <c r="EJ20" s="282">
        <v>21.5</v>
      </c>
      <c r="EK20" s="299">
        <v>25.57</v>
      </c>
      <c r="EL20" s="344">
        <v>93.17</v>
      </c>
      <c r="EM20" s="344">
        <v>4.37</v>
      </c>
      <c r="EN20" s="344">
        <v>9.56</v>
      </c>
      <c r="EO20" s="74">
        <v>5.21</v>
      </c>
      <c r="EP20" s="74">
        <v>4.6100000000000003</v>
      </c>
      <c r="EQ20" s="74">
        <v>3.96</v>
      </c>
      <c r="ER20" s="74">
        <v>3.8</v>
      </c>
      <c r="ES20" s="74">
        <v>11.19</v>
      </c>
      <c r="ET20" s="74">
        <v>10.15</v>
      </c>
      <c r="EU20" s="74">
        <v>9.83</v>
      </c>
      <c r="EV20" s="74">
        <v>7.41</v>
      </c>
      <c r="EW20" s="74">
        <v>98.68</v>
      </c>
      <c r="EX20" s="74">
        <v>103.35</v>
      </c>
      <c r="EY20" s="74">
        <v>97.87</v>
      </c>
      <c r="EZ20" s="74">
        <v>73.209999999999994</v>
      </c>
    </row>
    <row r="21" spans="1:164" ht="26.25" customHeight="1" x14ac:dyDescent="0.3">
      <c r="A21" s="43" t="s">
        <v>26</v>
      </c>
      <c r="B21" s="43" t="s">
        <v>27</v>
      </c>
      <c r="C21" s="53">
        <v>2015</v>
      </c>
      <c r="D21" s="52">
        <v>160.614</v>
      </c>
      <c r="E21" s="52">
        <v>45.137999999999998</v>
      </c>
      <c r="F21" s="52">
        <v>19.684000000000001</v>
      </c>
      <c r="G21" s="52">
        <f t="shared" si="0"/>
        <v>91.590999999999994</v>
      </c>
      <c r="H21" s="52">
        <f t="shared" si="1"/>
        <v>549.54600000000005</v>
      </c>
      <c r="I21" s="52">
        <f>453.772-D21</f>
        <v>293.15800000000002</v>
      </c>
      <c r="J21" s="52">
        <f>108.491-E21</f>
        <v>63.353000000000002</v>
      </c>
      <c r="K21" s="52">
        <f>22.721-F21</f>
        <v>3.036999999999999</v>
      </c>
      <c r="L21" s="52">
        <f>I21/6+J21+K21</f>
        <v>115.24966666666668</v>
      </c>
      <c r="M21" s="52">
        <f>I21+J21*6+K21*6</f>
        <v>691.49800000000005</v>
      </c>
      <c r="N21" s="52">
        <f t="shared" si="4"/>
        <v>206.84066666666666</v>
      </c>
      <c r="O21" s="52">
        <f>H21+M21</f>
        <v>1241.0440000000001</v>
      </c>
      <c r="P21" s="54">
        <f>+H21/O21</f>
        <v>0.44280944108347486</v>
      </c>
      <c r="Q21" s="54">
        <f t="shared" si="89"/>
        <v>0.29226670742758565</v>
      </c>
      <c r="R21" s="54">
        <f>E21/G21</f>
        <v>0.49282134707558606</v>
      </c>
      <c r="S21" s="54">
        <f>F21/G21</f>
        <v>0.21491194549682832</v>
      </c>
      <c r="T21" s="208">
        <v>60.505000000000003</v>
      </c>
      <c r="U21" s="208">
        <v>24.939</v>
      </c>
      <c r="V21" s="208">
        <v>208.59399999999999</v>
      </c>
      <c r="W21" s="52">
        <f>+T21*6+U21*6+V21</f>
        <v>721.25800000000004</v>
      </c>
      <c r="X21" s="52">
        <f t="shared" si="53"/>
        <v>-1298.759</v>
      </c>
      <c r="Y21" s="52">
        <f t="shared" si="54"/>
        <v>120.20966666666666</v>
      </c>
      <c r="Z21" s="52">
        <f t="shared" si="55"/>
        <v>-216.45983333333331</v>
      </c>
      <c r="AA21" s="205">
        <f t="shared" si="82"/>
        <v>-0.64294458908019092</v>
      </c>
      <c r="AB21" s="44"/>
      <c r="AC21" s="45">
        <v>-503.96899999999999</v>
      </c>
      <c r="AD21" s="45">
        <v>40.901000000000003</v>
      </c>
      <c r="AE21" s="45">
        <v>0</v>
      </c>
      <c r="AF21" s="45">
        <v>0</v>
      </c>
      <c r="AG21" s="55">
        <f>SUM(AC21:AF21)</f>
        <v>-463.06799999999998</v>
      </c>
      <c r="AH21" s="45">
        <v>-173.90700000000001</v>
      </c>
      <c r="AI21" s="45">
        <v>13.903</v>
      </c>
      <c r="AJ21" s="45">
        <v>0</v>
      </c>
      <c r="AK21" s="45">
        <v>0</v>
      </c>
      <c r="AL21" s="55">
        <f t="shared" si="56"/>
        <v>-160.00400000000002</v>
      </c>
      <c r="AM21" s="45">
        <v>-64.225999999999999</v>
      </c>
      <c r="AN21" s="45">
        <v>5.7679999999999998</v>
      </c>
      <c r="AO21" s="45">
        <v>0</v>
      </c>
      <c r="AP21" s="45">
        <v>0</v>
      </c>
      <c r="AQ21" s="55">
        <f>SUM(AM21:AP21)</f>
        <v>-58.457999999999998</v>
      </c>
      <c r="AR21" s="55">
        <f t="shared" si="9"/>
        <v>-1773.8400000000001</v>
      </c>
      <c r="AS21" s="55">
        <f t="shared" si="10"/>
        <v>-295.64</v>
      </c>
      <c r="AT21" s="46">
        <v>313</v>
      </c>
      <c r="AU21" s="46">
        <v>1</v>
      </c>
      <c r="AV21" s="46">
        <v>194</v>
      </c>
      <c r="AW21" s="46">
        <f>1729-123</f>
        <v>1606</v>
      </c>
      <c r="AX21" s="50">
        <f t="shared" si="11"/>
        <v>2114</v>
      </c>
      <c r="AY21" s="52">
        <f>SUM(AX19:AX21)</f>
        <v>14450</v>
      </c>
      <c r="AZ21" s="52">
        <f t="shared" si="59"/>
        <v>143.48000000000002</v>
      </c>
      <c r="BA21" s="52">
        <f t="shared" si="60"/>
        <v>860.88000000000011</v>
      </c>
      <c r="BB21" s="50">
        <f>AY21/AZ21</f>
        <v>100.71090047393363</v>
      </c>
      <c r="BC21" s="50">
        <f>AY21/BA21</f>
        <v>16.785150078988938</v>
      </c>
      <c r="BD21" s="44"/>
      <c r="BE21" s="47">
        <f>739+68</f>
        <v>807</v>
      </c>
      <c r="BF21" s="48">
        <v>380</v>
      </c>
      <c r="BG21" s="48">
        <v>0</v>
      </c>
      <c r="BH21" s="47">
        <f t="shared" si="83"/>
        <v>168.26758761172044</v>
      </c>
      <c r="BI21" s="48">
        <v>573</v>
      </c>
      <c r="BJ21" s="48">
        <v>0</v>
      </c>
      <c r="BK21" s="47">
        <f t="shared" si="84"/>
        <v>253.72980974083109</v>
      </c>
      <c r="BL21" s="48">
        <v>0</v>
      </c>
      <c r="BM21" s="48">
        <v>184</v>
      </c>
      <c r="BN21" s="47">
        <f t="shared" si="85"/>
        <v>184</v>
      </c>
      <c r="BO21" s="48">
        <v>486</v>
      </c>
      <c r="BP21" s="48">
        <v>0</v>
      </c>
      <c r="BQ21" s="47">
        <f t="shared" si="86"/>
        <v>215.2053883665688</v>
      </c>
      <c r="BR21" s="48">
        <v>6383</v>
      </c>
      <c r="BS21" s="48">
        <v>6383</v>
      </c>
      <c r="BT21" s="202">
        <f t="shared" si="63"/>
        <v>0.44280944108347486</v>
      </c>
      <c r="BU21" s="49">
        <f t="shared" si="64"/>
        <v>1628.2027857191204</v>
      </c>
      <c r="BV21" s="50">
        <f t="shared" si="65"/>
        <v>17.776886219378763</v>
      </c>
      <c r="BW21" s="50">
        <f t="shared" si="66"/>
        <v>2.9628143698964604</v>
      </c>
      <c r="BX21" s="44"/>
      <c r="BY21" s="91">
        <f t="shared" si="67"/>
        <v>3742.2027857191206</v>
      </c>
      <c r="BZ21" s="56">
        <f>(BY21*0.1)</f>
        <v>374.2202785719121</v>
      </c>
      <c r="CA21" s="141">
        <f t="shared" si="69"/>
        <v>0.17701999932446175</v>
      </c>
      <c r="CB21" s="56">
        <f t="shared" si="70"/>
        <v>4.0857756610574416</v>
      </c>
      <c r="CC21" s="56">
        <f t="shared" si="71"/>
        <v>0.68096261017624016</v>
      </c>
      <c r="CD21" s="56">
        <f t="shared" si="72"/>
        <v>23.080870391195642</v>
      </c>
      <c r="CE21" s="56">
        <f t="shared" si="72"/>
        <v>3.8468117318659401</v>
      </c>
      <c r="CF21" s="56">
        <f t="shared" si="73"/>
        <v>118.4877866933124</v>
      </c>
      <c r="CG21" s="56">
        <f>CB21+CF21</f>
        <v>122.57356235436984</v>
      </c>
      <c r="CH21" s="56">
        <f>CF21+CD21</f>
        <v>141.56865708450803</v>
      </c>
      <c r="CI21" s="56">
        <f t="shared" si="76"/>
        <v>19.747964448885398</v>
      </c>
      <c r="CJ21" s="56">
        <f>+CI21+CC21</f>
        <v>20.428927059061639</v>
      </c>
      <c r="CK21" s="56">
        <f>+CI21+CE21</f>
        <v>23.594776180751339</v>
      </c>
      <c r="CL21" s="51">
        <v>4</v>
      </c>
      <c r="CM21" s="56">
        <f t="shared" si="79"/>
        <v>11.84877866933124</v>
      </c>
      <c r="CN21" s="56">
        <f t="shared" si="80"/>
        <v>1085.2414871027177</v>
      </c>
      <c r="CO21" s="173">
        <f t="shared" si="81"/>
        <v>0.51335926542228838</v>
      </c>
      <c r="CP21" s="174"/>
      <c r="CQ21" s="328">
        <v>2611</v>
      </c>
      <c r="CR21" s="169">
        <v>8717</v>
      </c>
      <c r="CS21" s="270">
        <f>+CT21*CU21</f>
        <v>104.590872275</v>
      </c>
      <c r="CT21" s="269">
        <f>0.435818*91.25</f>
        <v>39.768392499999997</v>
      </c>
      <c r="CU21" s="133">
        <v>2.63</v>
      </c>
      <c r="CV21" s="269">
        <f>+CW21*CX21</f>
        <v>90.10038505</v>
      </c>
      <c r="CW21" s="269">
        <f>0.446788*91.25</f>
        <v>40.769404999999999</v>
      </c>
      <c r="CX21" s="133">
        <v>2.21</v>
      </c>
      <c r="CY21" s="269">
        <f>+CZ21*DA21</f>
        <v>104.4141109875</v>
      </c>
      <c r="CZ21" s="269">
        <f>0.445239*91.25</f>
        <v>40.628058750000001</v>
      </c>
      <c r="DA21" s="133">
        <v>2.57</v>
      </c>
      <c r="DB21" s="269">
        <f>+DE21-CS21-CV21-CZ21</f>
        <v>146.90868392499996</v>
      </c>
      <c r="DC21" s="269">
        <f>+DF21-CT21-CW21-CZ21</f>
        <v>39.434143749999983</v>
      </c>
      <c r="DD21" s="133">
        <f>+DB21/DC21</f>
        <v>3.7254183799794061</v>
      </c>
      <c r="DE21" s="274">
        <f>+DF21*DG21</f>
        <v>382.22799999999995</v>
      </c>
      <c r="DF21" s="274">
        <v>160.6</v>
      </c>
      <c r="DG21" s="273">
        <v>2.38</v>
      </c>
      <c r="DH21" s="272">
        <f>+DI21*DJ21</f>
        <v>516.89132538750005</v>
      </c>
      <c r="DI21" s="272">
        <f>0.126639*91.25</f>
        <v>11.555808750000001</v>
      </c>
      <c r="DJ21" s="296">
        <v>44.73</v>
      </c>
      <c r="DK21" s="272">
        <f>+DL21*DM21</f>
        <v>628.53274844999999</v>
      </c>
      <c r="DL21" s="272">
        <f>0.127698*91.25</f>
        <v>11.652442500000001</v>
      </c>
      <c r="DM21" s="296">
        <v>53.94</v>
      </c>
      <c r="DN21" s="272">
        <f>+DO21*DP21</f>
        <v>488.61834965000003</v>
      </c>
      <c r="DO21" s="272">
        <f>0.120412*91.25</f>
        <v>10.987595000000001</v>
      </c>
      <c r="DP21" s="296">
        <v>44.47</v>
      </c>
      <c r="DQ21" s="272">
        <f t="shared" si="87"/>
        <v>427.47857651250013</v>
      </c>
      <c r="DR21" s="272">
        <f t="shared" si="87"/>
        <v>10.904153750000003</v>
      </c>
      <c r="DS21" s="296">
        <f>+DQ21/DR21</f>
        <v>39.203278522416291</v>
      </c>
      <c r="DT21" s="277">
        <f>+DU21*DV21</f>
        <v>2061.5210000000002</v>
      </c>
      <c r="DU21" s="277">
        <v>45.1</v>
      </c>
      <c r="DV21" s="297">
        <v>45.71</v>
      </c>
      <c r="DW21" s="99">
        <f>+DX21*DY21</f>
        <v>47.398078750000003</v>
      </c>
      <c r="DX21" s="99">
        <f>0.047221*91.25</f>
        <v>4.3089162500000002</v>
      </c>
      <c r="DY21" s="298">
        <v>11</v>
      </c>
      <c r="DZ21" s="99">
        <f>+EA21*EB21</f>
        <v>50.687900399999997</v>
      </c>
      <c r="EA21" s="99">
        <f>0.054944*91.25</f>
        <v>5.0136399999999997</v>
      </c>
      <c r="EB21" s="298">
        <v>10.11</v>
      </c>
      <c r="EC21" s="99">
        <f>+ED21*EE21</f>
        <v>41.117085749999994</v>
      </c>
      <c r="ED21" s="99">
        <f>0.054951*91.25</f>
        <v>5.0142787499999999</v>
      </c>
      <c r="EE21" s="298">
        <v>8.1999999999999993</v>
      </c>
      <c r="EF21" s="99">
        <f>+EI21-EC21-DZ21-DW21</f>
        <v>52.280935100000015</v>
      </c>
      <c r="EG21" s="99">
        <f>+EJ21-ED21-EA21-DX21</f>
        <v>5.3631650000000013</v>
      </c>
      <c r="EH21" s="298">
        <f>+EF21/EG21</f>
        <v>9.7481496653561841</v>
      </c>
      <c r="EI21" s="282">
        <f>+EJ21*EK21</f>
        <v>191.48400000000001</v>
      </c>
      <c r="EJ21" s="282">
        <v>19.7</v>
      </c>
      <c r="EK21" s="299">
        <v>9.7200000000000006</v>
      </c>
      <c r="EL21" s="344">
        <v>48.66</v>
      </c>
      <c r="EM21" s="344">
        <v>2.62</v>
      </c>
      <c r="EN21" s="344">
        <v>4.97</v>
      </c>
      <c r="EO21" s="331">
        <v>2.9</v>
      </c>
      <c r="EP21" s="331">
        <v>2.75</v>
      </c>
      <c r="EQ21" s="331">
        <v>2.76</v>
      </c>
      <c r="ER21" s="331">
        <v>2.12</v>
      </c>
      <c r="ES21" s="331">
        <v>5.43</v>
      </c>
      <c r="ET21" s="331">
        <v>5.2</v>
      </c>
      <c r="EU21" s="331">
        <v>4.68</v>
      </c>
      <c r="EV21" s="331">
        <v>4.5999999999999996</v>
      </c>
      <c r="EW21" s="331">
        <v>48.49</v>
      </c>
      <c r="EX21" s="331">
        <v>57.85</v>
      </c>
      <c r="EY21" s="331">
        <v>46.64</v>
      </c>
      <c r="EZ21" s="331">
        <v>41.94</v>
      </c>
    </row>
    <row r="22" spans="1:164" ht="26.25" customHeight="1" x14ac:dyDescent="0.3">
      <c r="A22" s="228" t="s">
        <v>26</v>
      </c>
      <c r="B22" s="228" t="s">
        <v>27</v>
      </c>
      <c r="C22" s="229">
        <v>2016</v>
      </c>
      <c r="D22" s="216">
        <v>145.01900000000001</v>
      </c>
      <c r="E22" s="216">
        <v>38</v>
      </c>
      <c r="F22" s="216">
        <v>19.824000000000002</v>
      </c>
      <c r="G22" s="216">
        <f t="shared" si="0"/>
        <v>81.993833333333328</v>
      </c>
      <c r="H22" s="216">
        <f t="shared" si="1"/>
        <v>491.96300000000002</v>
      </c>
      <c r="I22" s="216">
        <f>403.533-D22</f>
        <v>258.51400000000001</v>
      </c>
      <c r="J22" s="216">
        <f>100.744-E22</f>
        <v>62.744</v>
      </c>
      <c r="K22" s="216">
        <f>22.942-F22</f>
        <v>3.1179999999999986</v>
      </c>
      <c r="L22" s="216">
        <f>I22/6+J22+K22</f>
        <v>108.94766666666666</v>
      </c>
      <c r="M22" s="216">
        <f>I22+J22*6+K22*6</f>
        <v>653.68600000000004</v>
      </c>
      <c r="N22" s="216">
        <f>G22+L22</f>
        <v>190.94149999999999</v>
      </c>
      <c r="O22" s="216">
        <f>H22+M22</f>
        <v>1145.6490000000001</v>
      </c>
      <c r="P22" s="302">
        <f>+H22/O22</f>
        <v>0.42941860901550122</v>
      </c>
      <c r="Q22" s="302">
        <f t="shared" si="89"/>
        <v>0.29477623317200685</v>
      </c>
      <c r="R22" s="302">
        <f>E22/G22</f>
        <v>0.46344948705492084</v>
      </c>
      <c r="S22" s="302">
        <f>F22/G22</f>
        <v>0.24177427977307239</v>
      </c>
      <c r="T22" s="209">
        <v>21.088000000000001</v>
      </c>
      <c r="U22" s="209">
        <v>17.311</v>
      </c>
      <c r="V22" s="209">
        <v>231.304</v>
      </c>
      <c r="W22" s="216">
        <f>+T22*6+U22*6+V22</f>
        <v>461.69799999999998</v>
      </c>
      <c r="X22" s="216">
        <f t="shared" si="53"/>
        <v>-259.56000000000006</v>
      </c>
      <c r="Y22" s="216">
        <f t="shared" si="54"/>
        <v>76.949666666666673</v>
      </c>
      <c r="Z22" s="216">
        <f t="shared" si="55"/>
        <v>-43.259999999999991</v>
      </c>
      <c r="AA22" s="206">
        <f t="shared" si="82"/>
        <v>-0.35987122499854413</v>
      </c>
      <c r="AB22" s="230"/>
      <c r="AC22" s="231">
        <v>-215.37799999999999</v>
      </c>
      <c r="AD22" s="231">
        <v>219.63300000000001</v>
      </c>
      <c r="AE22" s="231">
        <v>7.0000000000000001E-3</v>
      </c>
      <c r="AF22" s="231">
        <v>0</v>
      </c>
      <c r="AG22" s="303">
        <f>SUM(AC22:AF22)</f>
        <v>4.2620000000000235</v>
      </c>
      <c r="AH22" s="231">
        <v>-58.881999999999998</v>
      </c>
      <c r="AI22" s="231">
        <v>9.6140000000000008</v>
      </c>
      <c r="AJ22" s="231">
        <v>2.1000000000000001E-2</v>
      </c>
      <c r="AK22" s="231">
        <v>0</v>
      </c>
      <c r="AL22" s="303">
        <f t="shared" si="56"/>
        <v>-49.247</v>
      </c>
      <c r="AM22" s="231">
        <v>6.8239999999999998</v>
      </c>
      <c r="AN22" s="231">
        <v>10.238</v>
      </c>
      <c r="AO22" s="231">
        <v>2E-3</v>
      </c>
      <c r="AP22" s="231">
        <v>0</v>
      </c>
      <c r="AQ22" s="303">
        <f>SUM(AM22:AP22)</f>
        <v>17.063999999999997</v>
      </c>
      <c r="AR22" s="303">
        <f t="shared" si="9"/>
        <v>-188.83599999999998</v>
      </c>
      <c r="AS22" s="303">
        <f t="shared" si="10"/>
        <v>-31.472666666666665</v>
      </c>
      <c r="AT22" s="232">
        <v>110</v>
      </c>
      <c r="AU22" s="232">
        <v>0</v>
      </c>
      <c r="AV22" s="232">
        <v>278</v>
      </c>
      <c r="AW22" s="232">
        <f>420-21+51</f>
        <v>450</v>
      </c>
      <c r="AX22" s="215">
        <f>SUM(AT22:AW22)</f>
        <v>838</v>
      </c>
      <c r="AY22" s="216">
        <f>SUM(AX20:AX22)</f>
        <v>9798</v>
      </c>
      <c r="AZ22" s="216">
        <f>SUM(AS20:AS22)</f>
        <v>-155.32516666666663</v>
      </c>
      <c r="BA22" s="216">
        <f>SUM(AR20:AR22)</f>
        <v>-931.95100000000025</v>
      </c>
      <c r="BB22" s="215">
        <f>AY22/AZ22</f>
        <v>-63.08056968660371</v>
      </c>
      <c r="BC22" s="215">
        <f>AY22/BA22</f>
        <v>-10.513428281100612</v>
      </c>
      <c r="BD22" s="230"/>
      <c r="BE22" s="212">
        <f>553+80</f>
        <v>633</v>
      </c>
      <c r="BF22" s="200">
        <v>410</v>
      </c>
      <c r="BG22" s="200">
        <v>0</v>
      </c>
      <c r="BH22" s="212">
        <f t="shared" si="83"/>
        <v>176.06162969635548</v>
      </c>
      <c r="BI22" s="200">
        <v>305</v>
      </c>
      <c r="BJ22" s="200">
        <v>0</v>
      </c>
      <c r="BK22" s="212">
        <f t="shared" si="84"/>
        <v>130.97267574972784</v>
      </c>
      <c r="BL22" s="200">
        <v>0</v>
      </c>
      <c r="BM22" s="200">
        <v>139</v>
      </c>
      <c r="BN22" s="212">
        <f t="shared" si="85"/>
        <v>139</v>
      </c>
      <c r="BO22" s="200">
        <v>464</v>
      </c>
      <c r="BP22" s="200">
        <v>0</v>
      </c>
      <c r="BQ22" s="212">
        <f t="shared" si="86"/>
        <v>199.25023458319254</v>
      </c>
      <c r="BR22" s="200">
        <v>5208</v>
      </c>
      <c r="BS22" s="200">
        <v>5208</v>
      </c>
      <c r="BT22" s="202">
        <f t="shared" si="63"/>
        <v>0.42941860901550116</v>
      </c>
      <c r="BU22" s="220">
        <f t="shared" si="64"/>
        <v>1278.2845400292758</v>
      </c>
      <c r="BV22" s="215">
        <f t="shared" si="65"/>
        <v>15.590008273336929</v>
      </c>
      <c r="BW22" s="215">
        <f t="shared" si="66"/>
        <v>2.5983347122228211</v>
      </c>
      <c r="BX22" s="230"/>
      <c r="BY22" s="304">
        <f t="shared" si="67"/>
        <v>2116.2845400292758</v>
      </c>
      <c r="BZ22" s="305">
        <f>(BY22*0.1)</f>
        <v>211.62845400292758</v>
      </c>
      <c r="CA22" s="306">
        <f t="shared" si="69"/>
        <v>0.25253992124454366</v>
      </c>
      <c r="CB22" s="305">
        <f t="shared" si="70"/>
        <v>2.5810289066811234</v>
      </c>
      <c r="CC22" s="305">
        <f t="shared" si="71"/>
        <v>0.43017148444685388</v>
      </c>
      <c r="CD22" s="305">
        <f>+$AX22/G22</f>
        <v>10.220280793474307</v>
      </c>
      <c r="CE22" s="305">
        <f>+$AX22/H22</f>
        <v>1.7033801322457176</v>
      </c>
      <c r="CF22" s="305">
        <f t="shared" si="73"/>
        <v>-47.490561413266782</v>
      </c>
      <c r="CG22" s="305">
        <f>CB22+CF22</f>
        <v>-44.909532506585656</v>
      </c>
      <c r="CH22" s="305">
        <f>CF22+CD22</f>
        <v>-37.270280619792473</v>
      </c>
      <c r="CI22" s="305">
        <f t="shared" si="76"/>
        <v>-7.9150935688777917</v>
      </c>
      <c r="CJ22" s="305">
        <f>+CI22+CC22</f>
        <v>-7.4849220844309379</v>
      </c>
      <c r="CK22" s="305">
        <f>+CI22+CE22</f>
        <v>-6.2117134366320741</v>
      </c>
      <c r="CL22" s="307">
        <v>4</v>
      </c>
      <c r="CM22" s="305">
        <f t="shared" si="79"/>
        <v>-4.7490561413266779</v>
      </c>
      <c r="CN22" s="305">
        <f t="shared" si="80"/>
        <v>-389.39331774258272</v>
      </c>
      <c r="CO22" s="308">
        <f t="shared" si="81"/>
        <v>-0.46466983024174552</v>
      </c>
      <c r="CP22" s="309"/>
      <c r="CQ22" s="329">
        <v>1969</v>
      </c>
      <c r="CR22" s="325">
        <v>8544</v>
      </c>
      <c r="CS22" s="312">
        <f>+CT22*CU22</f>
        <v>61.694640562499991</v>
      </c>
      <c r="CT22" s="313">
        <f>0.409761*91.25</f>
        <v>37.390691249999996</v>
      </c>
      <c r="CU22" s="314">
        <v>1.65</v>
      </c>
      <c r="CV22" s="313">
        <f>+CW22*CX22</f>
        <v>63.310545750000003</v>
      </c>
      <c r="CW22" s="313">
        <f>0.408126*91.25</f>
        <v>37.241497500000001</v>
      </c>
      <c r="CX22" s="314">
        <v>1.7</v>
      </c>
      <c r="CY22" s="313">
        <f>+CZ22*DA22</f>
        <v>95.891423950000004</v>
      </c>
      <c r="CZ22" s="313">
        <f>0.395062*91.25</f>
        <v>36.049407500000001</v>
      </c>
      <c r="DA22" s="314">
        <v>2.66</v>
      </c>
      <c r="DB22" s="313">
        <f>+DE22-CS22-CV22-CZ22</f>
        <v>153.5954061875</v>
      </c>
      <c r="DC22" s="313">
        <f>+DF22-CT22-CW22-CZ22</f>
        <v>34.318403749999987</v>
      </c>
      <c r="DD22" s="314">
        <f>+DB22/DC22</f>
        <v>4.4755987867734106</v>
      </c>
      <c r="DE22" s="315">
        <f>+DF22*DG22</f>
        <v>314.64999999999998</v>
      </c>
      <c r="DF22" s="315">
        <v>145</v>
      </c>
      <c r="DG22" s="316">
        <v>2.17</v>
      </c>
      <c r="DH22" s="317">
        <f>+DI22*DJ22</f>
        <v>314.73242173750003</v>
      </c>
      <c r="DI22" s="317">
        <f>0.115859*91.25</f>
        <v>10.572133750000001</v>
      </c>
      <c r="DJ22" s="318">
        <v>29.77</v>
      </c>
      <c r="DK22" s="317">
        <f>+DL22*DM22</f>
        <v>408.59787668750005</v>
      </c>
      <c r="DL22" s="317">
        <f>0.106741*91.25</f>
        <v>9.7401162499999998</v>
      </c>
      <c r="DM22" s="318">
        <v>41.95</v>
      </c>
      <c r="DN22" s="317">
        <f>+DO22*DP22</f>
        <v>375.09154463749996</v>
      </c>
      <c r="DO22" s="317">
        <f>0.098269*91.25</f>
        <v>8.9670462499999992</v>
      </c>
      <c r="DP22" s="318">
        <v>41.83</v>
      </c>
      <c r="DQ22" s="317">
        <f t="shared" si="87"/>
        <v>399.91815693749987</v>
      </c>
      <c r="DR22" s="317">
        <f>+DU22-DO22-DL22-DI22</f>
        <v>8.7207037500000002</v>
      </c>
      <c r="DS22" s="318">
        <f>+DQ22/DR22</f>
        <v>45.85847294004224</v>
      </c>
      <c r="DT22" s="319">
        <f>+DU22*DV22</f>
        <v>1498.34</v>
      </c>
      <c r="DU22" s="319">
        <v>38</v>
      </c>
      <c r="DV22" s="320">
        <v>39.43</v>
      </c>
      <c r="DW22" s="187">
        <f>+DX22*DY22</f>
        <v>33.596151250000005</v>
      </c>
      <c r="DX22" s="187">
        <f>0.0557*91.25</f>
        <v>5.0826250000000002</v>
      </c>
      <c r="DY22" s="321">
        <v>6.61</v>
      </c>
      <c r="DZ22" s="187">
        <f>+EA22*EB22</f>
        <v>49.444330799999996</v>
      </c>
      <c r="EA22" s="187">
        <f>0.055632*91.25</f>
        <v>5.0764199999999997</v>
      </c>
      <c r="EB22" s="321">
        <v>9.74</v>
      </c>
      <c r="EC22" s="187">
        <f>+ED22*EE22</f>
        <v>49.315556062500001</v>
      </c>
      <c r="ED22" s="187">
        <f>0.056355*91.25</f>
        <v>5.1423937500000001</v>
      </c>
      <c r="EE22" s="321">
        <v>9.59</v>
      </c>
      <c r="EF22" s="187">
        <f>+EI22-EC22-DZ22-DW22</f>
        <v>51.387961887499998</v>
      </c>
      <c r="EG22" s="187">
        <f>+EJ22-ED22-EA22-DX22</f>
        <v>4.4985612500000016</v>
      </c>
      <c r="EH22" s="321">
        <f>+EF22/EG22</f>
        <v>11.423199336787953</v>
      </c>
      <c r="EI22" s="322">
        <f>+EJ22*EK22</f>
        <v>183.744</v>
      </c>
      <c r="EJ22" s="322">
        <v>19.8</v>
      </c>
      <c r="EK22" s="323">
        <v>9.2799999999999994</v>
      </c>
      <c r="EL22" s="345">
        <v>43.2</v>
      </c>
      <c r="EM22" s="345">
        <v>2.52</v>
      </c>
      <c r="EN22" s="345">
        <v>5.04</v>
      </c>
      <c r="EO22" s="332">
        <v>1.99</v>
      </c>
      <c r="EP22" s="332">
        <v>2.15</v>
      </c>
      <c r="EQ22" s="332">
        <v>2.88</v>
      </c>
      <c r="ER22" s="332">
        <v>3.04</v>
      </c>
      <c r="ES22" s="332">
        <v>4.0199999999999996</v>
      </c>
      <c r="ET22" s="332">
        <v>5</v>
      </c>
      <c r="EU22" s="332">
        <v>5.04</v>
      </c>
      <c r="EV22" s="332">
        <v>6.05</v>
      </c>
      <c r="EW22" s="332">
        <v>33.35</v>
      </c>
      <c r="EX22" s="332">
        <v>45.46</v>
      </c>
      <c r="EY22" s="332">
        <v>44.85</v>
      </c>
      <c r="EZ22" s="332">
        <v>49.14</v>
      </c>
    </row>
    <row r="23" spans="1:164" ht="26.25" customHeight="1" x14ac:dyDescent="0.3">
      <c r="A23" s="24" t="s">
        <v>30</v>
      </c>
      <c r="B23" s="24" t="s">
        <v>31</v>
      </c>
      <c r="C23" s="1">
        <v>2007</v>
      </c>
      <c r="D23" s="25">
        <v>80.474999999999994</v>
      </c>
      <c r="E23" s="25">
        <v>0.83</v>
      </c>
      <c r="F23" s="25">
        <v>0</v>
      </c>
      <c r="G23" s="25">
        <f t="shared" si="0"/>
        <v>14.2425</v>
      </c>
      <c r="H23" s="25">
        <f t="shared" si="1"/>
        <v>85.454999999999998</v>
      </c>
      <c r="I23" s="25">
        <v>0</v>
      </c>
      <c r="J23" s="25">
        <v>0</v>
      </c>
      <c r="K23" s="25">
        <v>0</v>
      </c>
      <c r="L23" s="25">
        <f t="shared" si="2"/>
        <v>0</v>
      </c>
      <c r="M23" s="25">
        <f t="shared" si="3"/>
        <v>0</v>
      </c>
      <c r="N23" s="25">
        <f t="shared" si="4"/>
        <v>14.2425</v>
      </c>
      <c r="O23" s="25">
        <f t="shared" si="4"/>
        <v>85.454999999999998</v>
      </c>
      <c r="P23" s="26">
        <f t="shared" si="5"/>
        <v>1</v>
      </c>
      <c r="Q23" s="26">
        <f t="shared" si="89"/>
        <v>0.94172371423556256</v>
      </c>
      <c r="R23" s="26">
        <f t="shared" si="12"/>
        <v>5.827628576443742E-2</v>
      </c>
      <c r="S23" s="26">
        <f t="shared" si="13"/>
        <v>0</v>
      </c>
      <c r="T23" s="207">
        <v>2.302</v>
      </c>
      <c r="U23" s="207">
        <v>0</v>
      </c>
      <c r="V23" s="207">
        <v>426.01600000000002</v>
      </c>
      <c r="W23" s="25">
        <f t="shared" ref="W23:W30" si="90">+T23*6+U23*6+V23</f>
        <v>439.82800000000003</v>
      </c>
      <c r="X23" s="25"/>
      <c r="Y23" s="25">
        <f>+T23+U23+V23/6</f>
        <v>73.304666666666677</v>
      </c>
      <c r="Z23" s="25"/>
      <c r="AA23" s="25"/>
      <c r="AB23" s="27"/>
      <c r="AC23" s="28">
        <v>2.6040000000000001</v>
      </c>
      <c r="AD23" s="28">
        <v>265.83</v>
      </c>
      <c r="AE23" s="28">
        <v>3.7010000000000001</v>
      </c>
      <c r="AF23" s="28">
        <v>0</v>
      </c>
      <c r="AG23" s="29">
        <f>SUM(AC23:AF23)</f>
        <v>272.13499999999999</v>
      </c>
      <c r="AH23" s="28">
        <v>0.77100000000000002</v>
      </c>
      <c r="AI23" s="28">
        <v>1.381</v>
      </c>
      <c r="AJ23" s="28">
        <v>3.3000000000000002E-2</v>
      </c>
      <c r="AK23" s="28">
        <v>0</v>
      </c>
      <c r="AL23" s="29">
        <f t="shared" si="56"/>
        <v>2.1850000000000001</v>
      </c>
      <c r="AM23" s="28">
        <v>0</v>
      </c>
      <c r="AN23" s="28">
        <v>0</v>
      </c>
      <c r="AO23" s="28">
        <v>0</v>
      </c>
      <c r="AP23" s="28">
        <v>0</v>
      </c>
      <c r="AQ23" s="29">
        <f t="shared" ref="AQ23:AQ29" si="91">SUM(AM23:AP23)</f>
        <v>0</v>
      </c>
      <c r="AR23" s="29">
        <f t="shared" si="9"/>
        <v>285.245</v>
      </c>
      <c r="AS23" s="29">
        <f t="shared" si="10"/>
        <v>47.540833333333332</v>
      </c>
      <c r="AT23" s="30">
        <v>22.186</v>
      </c>
      <c r="AU23" s="30">
        <v>3.9820000000000002</v>
      </c>
      <c r="AV23" s="30">
        <v>70.242000000000004</v>
      </c>
      <c r="AW23" s="30">
        <v>494.20400000000001</v>
      </c>
      <c r="AX23" s="31">
        <f t="shared" si="11"/>
        <v>590.61400000000003</v>
      </c>
      <c r="AY23" s="25"/>
      <c r="AZ23" s="25"/>
      <c r="BA23" s="25"/>
      <c r="BB23" s="31"/>
      <c r="BC23" s="31"/>
      <c r="BD23" s="27"/>
      <c r="BE23" s="32"/>
      <c r="BF23" s="33"/>
      <c r="BG23" s="34"/>
      <c r="BH23" s="32"/>
      <c r="BI23" s="33"/>
      <c r="BJ23" s="34"/>
      <c r="BK23" s="32"/>
      <c r="BL23" s="33"/>
      <c r="BM23" s="34"/>
      <c r="BN23" s="32"/>
      <c r="BO23" s="33"/>
      <c r="BP23" s="34"/>
      <c r="BQ23" s="32"/>
      <c r="BR23" s="34">
        <v>0</v>
      </c>
      <c r="BS23" s="34">
        <v>0</v>
      </c>
      <c r="BT23" s="34"/>
      <c r="BU23" s="35"/>
      <c r="BV23" s="31"/>
      <c r="BW23" s="31"/>
      <c r="BX23" s="27"/>
      <c r="BY23" s="88"/>
      <c r="BZ23" s="36"/>
      <c r="CA23" s="36"/>
      <c r="CB23" s="36"/>
      <c r="CC23" s="36"/>
      <c r="CD23" s="36"/>
      <c r="CE23" s="36"/>
      <c r="CF23" s="36"/>
      <c r="CG23" s="36"/>
      <c r="CH23" s="36"/>
      <c r="CI23" s="36"/>
      <c r="CJ23" s="36"/>
      <c r="CK23" s="36"/>
      <c r="CL23" s="37">
        <v>4</v>
      </c>
      <c r="CM23" s="37"/>
      <c r="CN23" s="37"/>
      <c r="CO23" s="37"/>
      <c r="CP23" s="327"/>
      <c r="CQ23" s="327"/>
      <c r="CS23" s="293"/>
      <c r="CT23" s="227"/>
      <c r="CU23" s="227"/>
      <c r="CV23" s="227"/>
      <c r="CW23" s="227"/>
      <c r="CX23" s="227"/>
      <c r="CY23" s="227"/>
      <c r="CZ23" s="227"/>
      <c r="DA23" s="227"/>
      <c r="DB23" s="227"/>
      <c r="DC23" s="227"/>
      <c r="DD23" s="227"/>
      <c r="DE23" s="275"/>
      <c r="DF23" s="275"/>
      <c r="DG23" s="275"/>
      <c r="DH23" s="226"/>
      <c r="DI23" s="226"/>
      <c r="DJ23" s="226"/>
      <c r="DK23" s="226"/>
      <c r="DL23" s="226"/>
      <c r="DM23" s="226"/>
      <c r="DN23" s="226"/>
      <c r="DO23" s="226"/>
      <c r="DP23" s="226"/>
      <c r="DQ23" s="226"/>
      <c r="DR23" s="226"/>
      <c r="DS23" s="226"/>
      <c r="DT23" s="278"/>
      <c r="DU23" s="278"/>
      <c r="DV23" s="278"/>
      <c r="DW23" s="280"/>
      <c r="DX23" s="280"/>
      <c r="DY23" s="280"/>
      <c r="DZ23" s="280"/>
      <c r="EA23" s="280"/>
      <c r="EB23" s="280"/>
      <c r="EC23" s="280"/>
      <c r="ED23" s="280"/>
      <c r="EE23" s="280"/>
      <c r="EF23" s="280"/>
      <c r="EG23" s="280"/>
      <c r="EH23" s="280"/>
      <c r="EI23" s="283"/>
      <c r="EJ23" s="283"/>
      <c r="EK23" s="294"/>
      <c r="EL23" s="343">
        <v>72.34</v>
      </c>
      <c r="EM23" s="343">
        <v>6.97</v>
      </c>
      <c r="EN23" s="343">
        <v>12.91</v>
      </c>
      <c r="EO23" s="116"/>
      <c r="EP23" s="116"/>
      <c r="EQ23" s="116"/>
      <c r="ER23" s="116"/>
      <c r="ES23" s="116"/>
      <c r="ET23" s="116"/>
      <c r="EU23" s="116"/>
      <c r="EV23" s="116"/>
      <c r="EW23" s="116"/>
      <c r="EX23" s="116"/>
      <c r="EY23" s="116"/>
      <c r="EZ23" s="116"/>
    </row>
    <row r="24" spans="1:164" ht="26.25" customHeight="1" x14ac:dyDescent="0.3">
      <c r="A24" s="24" t="s">
        <v>30</v>
      </c>
      <c r="B24" s="24" t="s">
        <v>31</v>
      </c>
      <c r="C24" s="1">
        <v>2008</v>
      </c>
      <c r="D24" s="25">
        <v>90.424999999999997</v>
      </c>
      <c r="E24" s="25">
        <v>0.79400000000000004</v>
      </c>
      <c r="F24" s="25">
        <v>0</v>
      </c>
      <c r="G24" s="25">
        <f t="shared" si="0"/>
        <v>15.864833333333333</v>
      </c>
      <c r="H24" s="25">
        <f t="shared" si="1"/>
        <v>95.188999999999993</v>
      </c>
      <c r="I24" s="25">
        <v>0</v>
      </c>
      <c r="J24" s="25">
        <v>0</v>
      </c>
      <c r="K24" s="25">
        <v>0</v>
      </c>
      <c r="L24" s="25">
        <f t="shared" si="2"/>
        <v>0</v>
      </c>
      <c r="M24" s="25">
        <f t="shared" si="3"/>
        <v>0</v>
      </c>
      <c r="N24" s="25">
        <f t="shared" si="4"/>
        <v>15.864833333333333</v>
      </c>
      <c r="O24" s="25">
        <f t="shared" si="4"/>
        <v>95.188999999999993</v>
      </c>
      <c r="P24" s="26">
        <f t="shared" si="5"/>
        <v>1</v>
      </c>
      <c r="Q24" s="26">
        <f t="shared" si="89"/>
        <v>0.94995220035928529</v>
      </c>
      <c r="R24" s="26">
        <f t="shared" si="12"/>
        <v>5.0047799640714791E-2</v>
      </c>
      <c r="S24" s="26">
        <f t="shared" si="13"/>
        <v>0</v>
      </c>
      <c r="T24" s="207">
        <v>2.613</v>
      </c>
      <c r="U24" s="207">
        <v>0</v>
      </c>
      <c r="V24" s="207">
        <v>577.83799999999997</v>
      </c>
      <c r="W24" s="25">
        <f t="shared" si="90"/>
        <v>593.51599999999996</v>
      </c>
      <c r="X24" s="25">
        <f t="shared" ref="X24:X31" si="92">W24-W23</f>
        <v>153.68799999999993</v>
      </c>
      <c r="Y24" s="25">
        <f t="shared" ref="Y24:Y31" si="93">+T24+U24+V24/6</f>
        <v>98.919333333333327</v>
      </c>
      <c r="Z24" s="25">
        <f t="shared" ref="Z24:Z31" si="94">Y24-Y23</f>
        <v>25.61466666666665</v>
      </c>
      <c r="AA24" s="204">
        <f>+Z24/Y23</f>
        <v>0.34942750347863227</v>
      </c>
      <c r="AB24" s="27"/>
      <c r="AC24" s="28">
        <v>-47.744999999999997</v>
      </c>
      <c r="AD24" s="28">
        <v>297.089</v>
      </c>
      <c r="AE24" s="28">
        <v>167.262</v>
      </c>
      <c r="AF24" s="28">
        <v>0</v>
      </c>
      <c r="AG24" s="29">
        <f t="shared" si="17"/>
        <v>416.60599999999999</v>
      </c>
      <c r="AH24" s="28">
        <v>-1.593</v>
      </c>
      <c r="AI24" s="28">
        <v>1.1339999999999999</v>
      </c>
      <c r="AJ24" s="28">
        <v>1.268</v>
      </c>
      <c r="AK24" s="28">
        <v>0</v>
      </c>
      <c r="AL24" s="29">
        <f t="shared" si="56"/>
        <v>0.80899999999999994</v>
      </c>
      <c r="AM24" s="28">
        <v>0</v>
      </c>
      <c r="AN24" s="28">
        <v>0</v>
      </c>
      <c r="AO24" s="28">
        <v>0</v>
      </c>
      <c r="AP24" s="28">
        <v>0</v>
      </c>
      <c r="AQ24" s="29">
        <f t="shared" si="91"/>
        <v>0</v>
      </c>
      <c r="AR24" s="29">
        <f t="shared" si="9"/>
        <v>421.46</v>
      </c>
      <c r="AS24" s="29">
        <f t="shared" si="10"/>
        <v>70.243333333333325</v>
      </c>
      <c r="AT24" s="30">
        <v>152.666</v>
      </c>
      <c r="AU24" s="30">
        <v>605.86</v>
      </c>
      <c r="AV24" s="30">
        <v>89.02</v>
      </c>
      <c r="AW24" s="30">
        <v>594.221</v>
      </c>
      <c r="AX24" s="31">
        <f t="shared" si="11"/>
        <v>1441.7670000000001</v>
      </c>
      <c r="AY24" s="25"/>
      <c r="AZ24" s="25"/>
      <c r="BA24" s="25"/>
      <c r="BC24" s="31"/>
      <c r="BD24" s="27"/>
      <c r="BE24" s="32"/>
      <c r="BF24" s="33"/>
      <c r="BG24" s="34"/>
      <c r="BH24" s="32"/>
      <c r="BI24" s="33"/>
      <c r="BJ24" s="34"/>
      <c r="BK24" s="32"/>
      <c r="BL24" s="33"/>
      <c r="BM24" s="34"/>
      <c r="BN24" s="32"/>
      <c r="BO24" s="33"/>
      <c r="BP24" s="34"/>
      <c r="BQ24" s="32"/>
      <c r="BR24" s="57">
        <v>0</v>
      </c>
      <c r="BS24" s="57">
        <v>0</v>
      </c>
      <c r="BT24" s="57"/>
      <c r="BU24" s="35"/>
      <c r="BV24" s="31"/>
      <c r="BW24" s="31"/>
      <c r="BX24" s="27"/>
      <c r="BY24" s="88"/>
      <c r="BZ24" s="38"/>
      <c r="CA24" s="36"/>
      <c r="CB24" s="38"/>
      <c r="CC24" s="36"/>
      <c r="CD24" s="36"/>
      <c r="CE24" s="36"/>
      <c r="CF24" s="89"/>
      <c r="CG24" s="36"/>
      <c r="CH24" s="36"/>
      <c r="CI24" s="36"/>
      <c r="CJ24" s="36"/>
      <c r="CK24" s="36"/>
      <c r="CL24" s="37">
        <v>4</v>
      </c>
      <c r="CM24" s="37"/>
      <c r="CN24" s="38"/>
      <c r="CO24" s="38"/>
      <c r="CP24" s="327"/>
      <c r="CQ24" s="327"/>
      <c r="CS24" s="271"/>
      <c r="CT24" s="133"/>
      <c r="CU24" s="133"/>
      <c r="CV24" s="133"/>
      <c r="CW24" s="133"/>
      <c r="CX24" s="133"/>
      <c r="CY24" s="133"/>
      <c r="CZ24" s="133"/>
      <c r="DA24" s="133"/>
      <c r="DB24" s="133"/>
      <c r="DC24" s="133"/>
      <c r="DD24" s="133"/>
      <c r="DE24" s="273"/>
      <c r="DF24" s="273"/>
      <c r="DG24" s="273"/>
      <c r="DH24" s="132"/>
      <c r="DI24" s="132"/>
      <c r="DJ24" s="132"/>
      <c r="DK24" s="132"/>
      <c r="DL24" s="132"/>
      <c r="DM24" s="132"/>
      <c r="DN24" s="132"/>
      <c r="DO24" s="132"/>
      <c r="DP24" s="132"/>
      <c r="DQ24" s="132"/>
      <c r="DR24" s="132"/>
      <c r="DS24" s="132"/>
      <c r="DT24" s="276"/>
      <c r="DU24" s="276"/>
      <c r="DV24" s="276"/>
      <c r="DW24" s="279"/>
      <c r="DX24" s="279"/>
      <c r="DY24" s="279"/>
      <c r="DZ24" s="279"/>
      <c r="EA24" s="279"/>
      <c r="EB24" s="279"/>
      <c r="EC24" s="279"/>
      <c r="ED24" s="279"/>
      <c r="EE24" s="279"/>
      <c r="EF24" s="279"/>
      <c r="EG24" s="279"/>
      <c r="EH24" s="279"/>
      <c r="EI24" s="281"/>
      <c r="EJ24" s="281"/>
      <c r="EK24" s="295"/>
      <c r="EL24" s="343">
        <v>99.67</v>
      </c>
      <c r="EM24" s="343">
        <v>8.86</v>
      </c>
      <c r="EN24" s="343">
        <v>15.2</v>
      </c>
      <c r="EO24" s="116"/>
      <c r="EP24" s="116"/>
      <c r="EQ24" s="116"/>
      <c r="ER24" s="116"/>
      <c r="ES24" s="116"/>
      <c r="ET24" s="116"/>
      <c r="EU24" s="116"/>
      <c r="EV24" s="116"/>
      <c r="EW24" s="116"/>
      <c r="EX24" s="116"/>
      <c r="EY24" s="116"/>
      <c r="EZ24" s="116"/>
    </row>
    <row r="25" spans="1:164" ht="26.25" customHeight="1" x14ac:dyDescent="0.3">
      <c r="A25" s="24" t="s">
        <v>30</v>
      </c>
      <c r="B25" s="24" t="s">
        <v>31</v>
      </c>
      <c r="C25" s="1">
        <v>2009</v>
      </c>
      <c r="D25" s="25">
        <v>97.914000000000001</v>
      </c>
      <c r="E25" s="25">
        <v>0.84399999999999997</v>
      </c>
      <c r="F25" s="25">
        <v>0</v>
      </c>
      <c r="G25" s="25">
        <f t="shared" si="0"/>
        <v>17.163</v>
      </c>
      <c r="H25" s="25">
        <f t="shared" si="1"/>
        <v>102.97800000000001</v>
      </c>
      <c r="I25" s="25">
        <v>0</v>
      </c>
      <c r="J25" s="25">
        <v>0</v>
      </c>
      <c r="K25" s="25">
        <v>0</v>
      </c>
      <c r="L25" s="25">
        <f t="shared" si="2"/>
        <v>0</v>
      </c>
      <c r="M25" s="25">
        <f t="shared" si="3"/>
        <v>0</v>
      </c>
      <c r="N25" s="25">
        <f t="shared" ref="N25:O73" si="95">G25+L25</f>
        <v>17.163</v>
      </c>
      <c r="O25" s="25">
        <f t="shared" si="95"/>
        <v>102.97800000000001</v>
      </c>
      <c r="P25" s="26">
        <f t="shared" si="5"/>
        <v>1</v>
      </c>
      <c r="Q25" s="26">
        <f t="shared" si="89"/>
        <v>0.95082444794033671</v>
      </c>
      <c r="R25" s="26">
        <f t="shared" si="12"/>
        <v>4.917555205966323E-2</v>
      </c>
      <c r="S25" s="26">
        <f t="shared" si="13"/>
        <v>0</v>
      </c>
      <c r="T25" s="207">
        <v>1.7010000000000001</v>
      </c>
      <c r="U25" s="207">
        <v>0</v>
      </c>
      <c r="V25" s="207">
        <v>725</v>
      </c>
      <c r="W25" s="25">
        <f t="shared" si="90"/>
        <v>735.20600000000002</v>
      </c>
      <c r="X25" s="25">
        <f t="shared" si="92"/>
        <v>141.69000000000005</v>
      </c>
      <c r="Y25" s="25">
        <f t="shared" si="93"/>
        <v>122.53433333333332</v>
      </c>
      <c r="Z25" s="25">
        <f t="shared" si="94"/>
        <v>23.614999999999995</v>
      </c>
      <c r="AA25" s="204">
        <f>+Z25/Y24</f>
        <v>0.238729874173569</v>
      </c>
      <c r="AB25" s="27"/>
      <c r="AC25" s="28">
        <v>-193.767</v>
      </c>
      <c r="AD25" s="28">
        <v>459.61200000000002</v>
      </c>
      <c r="AE25" s="28">
        <v>9</v>
      </c>
      <c r="AF25" s="28">
        <v>0</v>
      </c>
      <c r="AG25" s="29">
        <f t="shared" si="17"/>
        <v>274.84500000000003</v>
      </c>
      <c r="AH25" s="28">
        <v>-1.0620000000000001</v>
      </c>
      <c r="AI25" s="28">
        <v>0.54400000000000004</v>
      </c>
      <c r="AJ25" s="28">
        <v>0</v>
      </c>
      <c r="AK25" s="28">
        <v>0</v>
      </c>
      <c r="AL25" s="29">
        <f t="shared" si="56"/>
        <v>-0.51800000000000002</v>
      </c>
      <c r="AM25" s="28">
        <v>0</v>
      </c>
      <c r="AN25" s="28">
        <v>0</v>
      </c>
      <c r="AO25" s="28">
        <v>0</v>
      </c>
      <c r="AP25" s="28">
        <v>0</v>
      </c>
      <c r="AQ25" s="29">
        <f t="shared" si="91"/>
        <v>0</v>
      </c>
      <c r="AR25" s="29">
        <f t="shared" si="9"/>
        <v>271.73700000000002</v>
      </c>
      <c r="AS25" s="29">
        <f t="shared" si="10"/>
        <v>45.289500000000004</v>
      </c>
      <c r="AT25" s="30">
        <v>145.68100000000001</v>
      </c>
      <c r="AU25" s="30">
        <v>0.39400000000000002</v>
      </c>
      <c r="AV25" s="30">
        <v>68.195999999999998</v>
      </c>
      <c r="AW25" s="30">
        <v>379.14</v>
      </c>
      <c r="AX25" s="31">
        <f t="shared" si="11"/>
        <v>593.41100000000006</v>
      </c>
      <c r="AY25" s="25">
        <f t="shared" ref="AY25:AY30" si="96">SUM(AX23:AX25)</f>
        <v>2625.7920000000004</v>
      </c>
      <c r="AZ25" s="25">
        <f t="shared" ref="AZ25:AZ31" si="97">SUM(AS23:AS25)</f>
        <v>163.07366666666667</v>
      </c>
      <c r="BA25" s="25">
        <f t="shared" ref="BA25:BA31" si="98">SUM(AR23:AR25)</f>
        <v>978.44200000000001</v>
      </c>
      <c r="BB25" s="31">
        <f t="shared" ref="BB25:BB30" si="99">AY25/AZ25</f>
        <v>16.101876248157787</v>
      </c>
      <c r="BC25" s="31">
        <f t="shared" ref="BC25:BC30" si="100">AY25/BA25</f>
        <v>2.6836460413596313</v>
      </c>
      <c r="BD25" s="27"/>
      <c r="BE25" s="32">
        <f>93.985+13.809</f>
        <v>107.794</v>
      </c>
      <c r="BF25" s="34">
        <v>0</v>
      </c>
      <c r="BG25" s="34">
        <v>68.373999999999995</v>
      </c>
      <c r="BH25" s="32">
        <f>IF(BG25=0,BF25*$BT25,BG25)</f>
        <v>68.373999999999995</v>
      </c>
      <c r="BI25" s="34">
        <v>0</v>
      </c>
      <c r="BJ25" s="34">
        <v>27.08</v>
      </c>
      <c r="BK25" s="32">
        <f>IF(BJ25=0,BI25*$BT25,BJ25)</f>
        <v>27.08</v>
      </c>
      <c r="BL25" s="34">
        <v>0</v>
      </c>
      <c r="BM25" s="34">
        <v>44.649000000000001</v>
      </c>
      <c r="BN25" s="32">
        <f>IF(BM25=0,BL25*$BT25,BM25)</f>
        <v>44.649000000000001</v>
      </c>
      <c r="BO25" s="34">
        <v>0</v>
      </c>
      <c r="BP25" s="34">
        <v>53.241099999999996</v>
      </c>
      <c r="BQ25" s="32">
        <f>IF(BP25=0,BO25*$BT25,BP25)</f>
        <v>53.241099999999996</v>
      </c>
      <c r="BR25" s="34">
        <v>743.54300000000001</v>
      </c>
      <c r="BS25" s="34">
        <v>743.54300000000001</v>
      </c>
      <c r="BT25" s="201">
        <f t="shared" ref="BT25:BT31" si="101">+P25*BR25/BS25</f>
        <v>1</v>
      </c>
      <c r="BU25" s="35">
        <f t="shared" ref="BU25:BU31" si="102">BQ25+BN25+BK25+BH25+BE25</f>
        <v>301.13809999999995</v>
      </c>
      <c r="BV25" s="31">
        <f t="shared" ref="BV25:BV31" si="103">BU25/G25</f>
        <v>17.545772883528517</v>
      </c>
      <c r="BW25" s="31">
        <f t="shared" ref="BW25:BW31" si="104">BU25/H25</f>
        <v>2.9242954805880861</v>
      </c>
      <c r="BX25" s="27"/>
      <c r="BY25" s="90">
        <f t="shared" ref="BY25:BY31" si="105">BU25+AX25</f>
        <v>894.54909999999995</v>
      </c>
      <c r="BZ25" s="38">
        <f t="shared" ref="BZ25:BZ31" si="106">(BY25*0.1)</f>
        <v>89.454909999999998</v>
      </c>
      <c r="CA25" s="140">
        <f t="shared" ref="CA25:CA31" si="107">+BZ25/AX25</f>
        <v>0.15074696963824397</v>
      </c>
      <c r="CB25" s="38">
        <f t="shared" ref="CB25:CB31" si="108">BZ25/G25</f>
        <v>5.2120788906368345</v>
      </c>
      <c r="CC25" s="38">
        <f t="shared" ref="CC25:CC31" si="109">BZ25/H25</f>
        <v>0.86867981510613912</v>
      </c>
      <c r="CD25" s="38">
        <f t="shared" ref="CD25:CE31" si="110">+$AX25/G25</f>
        <v>34.575016022839833</v>
      </c>
      <c r="CE25" s="38">
        <f t="shared" si="110"/>
        <v>5.7625026704733049</v>
      </c>
      <c r="CF25" s="38">
        <f t="shared" ref="CF25:CF31" si="111">BB25+BV25</f>
        <v>33.647649131686308</v>
      </c>
      <c r="CG25" s="38">
        <f t="shared" ref="CG25:CG31" si="112">CB25+CF25</f>
        <v>38.859728022323139</v>
      </c>
      <c r="CH25" s="38">
        <f t="shared" ref="CH25:CH31" si="113">CF25+CD25</f>
        <v>68.22266515452614</v>
      </c>
      <c r="CI25" s="38">
        <f t="shared" ref="CI25:CI31" si="114">+BC25+BW25</f>
        <v>5.6079415219477173</v>
      </c>
      <c r="CJ25" s="38">
        <f t="shared" ref="CJ25:CJ31" si="115">+CI25+CC25</f>
        <v>6.4766213370538566</v>
      </c>
      <c r="CK25" s="38">
        <f t="shared" ref="CK25:CK31" si="116">+CI25+CE25</f>
        <v>11.370444192421022</v>
      </c>
      <c r="CL25" s="37">
        <v>4</v>
      </c>
      <c r="CM25" s="38">
        <f>+CF25/10</f>
        <v>3.3647649131686306</v>
      </c>
      <c r="CN25" s="38">
        <f t="shared" ref="CN25:CN31" si="117">+CM25*G25</f>
        <v>57.749460204713209</v>
      </c>
      <c r="CO25" s="145">
        <f t="shared" ref="CO25:CO31" si="118">+CN25/AX25</f>
        <v>9.7317812114560059E-2</v>
      </c>
      <c r="CP25" s="62">
        <v>4.1790000000000003</v>
      </c>
      <c r="CQ25" s="327"/>
      <c r="CS25" s="271"/>
      <c r="CT25" s="133"/>
      <c r="CU25" s="133"/>
      <c r="CV25" s="133"/>
      <c r="CW25" s="133"/>
      <c r="CX25" s="133"/>
      <c r="CY25" s="133"/>
      <c r="CZ25" s="133"/>
      <c r="DA25" s="133"/>
      <c r="DB25" s="133"/>
      <c r="DC25" s="133"/>
      <c r="DD25" s="133"/>
      <c r="DE25" s="273"/>
      <c r="DF25" s="273"/>
      <c r="DG25" s="273"/>
      <c r="DH25" s="132"/>
      <c r="DI25" s="132"/>
      <c r="DJ25" s="132"/>
      <c r="DK25" s="132"/>
      <c r="DL25" s="132"/>
      <c r="DM25" s="132"/>
      <c r="DN25" s="132"/>
      <c r="DO25" s="132"/>
      <c r="DP25" s="132"/>
      <c r="DQ25" s="132"/>
      <c r="DR25" s="132"/>
      <c r="DS25" s="132"/>
      <c r="DT25" s="276"/>
      <c r="DU25" s="276"/>
      <c r="DV25" s="276"/>
      <c r="DW25" s="279"/>
      <c r="DX25" s="279"/>
      <c r="DY25" s="279"/>
      <c r="DZ25" s="279"/>
      <c r="EA25" s="279"/>
      <c r="EB25" s="279"/>
      <c r="EC25" s="279"/>
      <c r="ED25" s="279"/>
      <c r="EE25" s="279"/>
      <c r="EF25" s="279"/>
      <c r="EG25" s="279"/>
      <c r="EH25" s="279"/>
      <c r="EI25" s="281"/>
      <c r="EJ25" s="281"/>
      <c r="EK25" s="295"/>
      <c r="EL25" s="343">
        <v>61.95</v>
      </c>
      <c r="EM25" s="343">
        <v>3.94</v>
      </c>
      <c r="EN25" s="343">
        <v>8.99</v>
      </c>
      <c r="EO25" s="116"/>
      <c r="EP25" s="116"/>
      <c r="EQ25" s="116"/>
      <c r="ER25" s="116"/>
      <c r="ES25" s="116"/>
      <c r="ET25" s="116"/>
      <c r="EU25" s="116"/>
      <c r="EV25" s="116"/>
      <c r="EW25" s="116"/>
      <c r="EX25" s="116"/>
      <c r="EY25" s="116"/>
      <c r="EZ25" s="116"/>
    </row>
    <row r="26" spans="1:164" ht="26.25" customHeight="1" x14ac:dyDescent="0.3">
      <c r="A26" s="24" t="s">
        <v>30</v>
      </c>
      <c r="B26" s="24" t="s">
        <v>31</v>
      </c>
      <c r="C26" s="1">
        <v>2010</v>
      </c>
      <c r="D26" s="25">
        <v>125.474</v>
      </c>
      <c r="E26" s="25">
        <v>0.85799999999999998</v>
      </c>
      <c r="F26" s="25">
        <v>0</v>
      </c>
      <c r="G26" s="25">
        <f t="shared" si="0"/>
        <v>21.770333333333333</v>
      </c>
      <c r="H26" s="25">
        <f t="shared" si="1"/>
        <v>130.62200000000001</v>
      </c>
      <c r="I26" s="25">
        <v>0</v>
      </c>
      <c r="J26" s="25">
        <v>0</v>
      </c>
      <c r="K26" s="25">
        <v>0</v>
      </c>
      <c r="L26" s="25">
        <f t="shared" si="2"/>
        <v>0</v>
      </c>
      <c r="M26" s="25">
        <f t="shared" si="3"/>
        <v>0</v>
      </c>
      <c r="N26" s="25">
        <f t="shared" si="95"/>
        <v>21.770333333333333</v>
      </c>
      <c r="O26" s="25">
        <f t="shared" si="95"/>
        <v>130.62200000000001</v>
      </c>
      <c r="P26" s="26">
        <f t="shared" si="5"/>
        <v>1</v>
      </c>
      <c r="Q26" s="26">
        <f t="shared" si="89"/>
        <v>0.96058856854128705</v>
      </c>
      <c r="R26" s="26">
        <f t="shared" si="12"/>
        <v>3.9411431458712926E-2</v>
      </c>
      <c r="S26" s="26">
        <f t="shared" si="13"/>
        <v>0</v>
      </c>
      <c r="T26" s="207">
        <v>2.3620000000000001</v>
      </c>
      <c r="U26" s="207">
        <v>0</v>
      </c>
      <c r="V26" s="207">
        <v>963</v>
      </c>
      <c r="W26" s="25">
        <f t="shared" si="90"/>
        <v>977.17200000000003</v>
      </c>
      <c r="X26" s="25">
        <f t="shared" si="92"/>
        <v>241.96600000000001</v>
      </c>
      <c r="Y26" s="25">
        <f t="shared" si="93"/>
        <v>162.86199999999999</v>
      </c>
      <c r="Z26" s="25">
        <f t="shared" si="94"/>
        <v>40.327666666666673</v>
      </c>
      <c r="AA26" s="204">
        <f t="shared" ref="AA26:AA31" si="119">+Z26/Y25</f>
        <v>0.32911320092599905</v>
      </c>
      <c r="AB26" s="27"/>
      <c r="AC26" s="28">
        <v>139.01599999999999</v>
      </c>
      <c r="AD26" s="28">
        <v>632.98</v>
      </c>
      <c r="AE26" s="28">
        <v>0.59299999999999997</v>
      </c>
      <c r="AF26" s="28">
        <v>0</v>
      </c>
      <c r="AG26" s="29">
        <f t="shared" si="17"/>
        <v>772.58899999999994</v>
      </c>
      <c r="AH26" s="28">
        <v>-0.379</v>
      </c>
      <c r="AI26" s="28">
        <v>2.944</v>
      </c>
      <c r="AJ26" s="28">
        <v>4</v>
      </c>
      <c r="AK26" s="28">
        <v>0</v>
      </c>
      <c r="AL26" s="29">
        <f t="shared" si="56"/>
        <v>6.5649999999999995</v>
      </c>
      <c r="AM26" s="28">
        <v>0</v>
      </c>
      <c r="AN26" s="28">
        <v>0</v>
      </c>
      <c r="AO26" s="28">
        <v>0</v>
      </c>
      <c r="AP26" s="28">
        <v>0</v>
      </c>
      <c r="AQ26" s="29">
        <f t="shared" si="91"/>
        <v>0</v>
      </c>
      <c r="AR26" s="29">
        <f t="shared" si="9"/>
        <v>811.97899999999993</v>
      </c>
      <c r="AS26" s="29">
        <f t="shared" si="10"/>
        <v>135.32983333333331</v>
      </c>
      <c r="AT26" s="30">
        <v>130.67500000000001</v>
      </c>
      <c r="AU26" s="30">
        <v>0.80100000000000005</v>
      </c>
      <c r="AV26" s="30">
        <v>66.367999999999995</v>
      </c>
      <c r="AW26" s="30">
        <v>630.51099999999997</v>
      </c>
      <c r="AX26" s="31">
        <f t="shared" si="11"/>
        <v>828.35500000000002</v>
      </c>
      <c r="AY26" s="25">
        <f t="shared" si="96"/>
        <v>2863.5330000000004</v>
      </c>
      <c r="AZ26" s="25">
        <f t="shared" si="97"/>
        <v>250.86266666666666</v>
      </c>
      <c r="BA26" s="25">
        <f t="shared" si="98"/>
        <v>1505.1759999999999</v>
      </c>
      <c r="BB26" s="31">
        <f t="shared" si="99"/>
        <v>11.414743525009701</v>
      </c>
      <c r="BC26" s="31">
        <f t="shared" si="100"/>
        <v>1.9024572541682836</v>
      </c>
      <c r="BD26" s="27"/>
      <c r="BE26" s="32">
        <f>99.642+19.069</f>
        <v>118.711</v>
      </c>
      <c r="BF26" s="34">
        <v>0</v>
      </c>
      <c r="BG26" s="34">
        <v>79.177000000000007</v>
      </c>
      <c r="BH26" s="32">
        <f t="shared" ref="BH26:BH32" si="120">IF(BG26=0,BF26*$BT26,BG26)</f>
        <v>79.177000000000007</v>
      </c>
      <c r="BI26" s="34">
        <v>0</v>
      </c>
      <c r="BJ26" s="34">
        <v>1.05</v>
      </c>
      <c r="BK26" s="32">
        <f t="shared" ref="BK26:BK32" si="121">IF(BJ26=0,BI26*$BT26,BJ26)</f>
        <v>1.05</v>
      </c>
      <c r="BL26" s="34">
        <v>0</v>
      </c>
      <c r="BM26" s="34">
        <v>37.893999999999998</v>
      </c>
      <c r="BN26" s="32">
        <f t="shared" ref="BN26:BN32" si="122">IF(BM26=0,BL26*$BT26,BM26)</f>
        <v>37.893999999999998</v>
      </c>
      <c r="BO26" s="34">
        <v>0</v>
      </c>
      <c r="BP26" s="34">
        <v>57.712600000000002</v>
      </c>
      <c r="BQ26" s="32">
        <f t="shared" ref="BQ26:BQ32" si="123">IF(BP26=0,BO26*$BT26,BP26)</f>
        <v>57.712600000000002</v>
      </c>
      <c r="BR26" s="34">
        <v>713.64599999999996</v>
      </c>
      <c r="BS26" s="34">
        <v>713.64599999999996</v>
      </c>
      <c r="BT26" s="201">
        <f t="shared" si="101"/>
        <v>1</v>
      </c>
      <c r="BU26" s="35">
        <f t="shared" si="102"/>
        <v>294.5446</v>
      </c>
      <c r="BV26" s="31">
        <f t="shared" si="103"/>
        <v>13.529632068104913</v>
      </c>
      <c r="BW26" s="31">
        <f t="shared" si="104"/>
        <v>2.2549386780174854</v>
      </c>
      <c r="BX26" s="27"/>
      <c r="BY26" s="90">
        <f t="shared" si="105"/>
        <v>1122.8996</v>
      </c>
      <c r="BZ26" s="38">
        <f t="shared" si="106"/>
        <v>112.28996000000001</v>
      </c>
      <c r="CA26" s="140">
        <f t="shared" si="107"/>
        <v>0.13555777414272865</v>
      </c>
      <c r="CB26" s="38">
        <f t="shared" si="108"/>
        <v>5.1579348042443085</v>
      </c>
      <c r="CC26" s="38">
        <f t="shared" si="109"/>
        <v>0.85965580070738468</v>
      </c>
      <c r="CD26" s="38">
        <f t="shared" si="110"/>
        <v>38.04971597433817</v>
      </c>
      <c r="CE26" s="38">
        <f t="shared" si="110"/>
        <v>6.3416193290563605</v>
      </c>
      <c r="CF26" s="38">
        <f t="shared" si="111"/>
        <v>24.944375593114614</v>
      </c>
      <c r="CG26" s="38">
        <f t="shared" si="112"/>
        <v>30.102310397358924</v>
      </c>
      <c r="CH26" s="38">
        <f t="shared" si="113"/>
        <v>62.994091567452784</v>
      </c>
      <c r="CI26" s="38">
        <f t="shared" si="114"/>
        <v>4.1573959321857687</v>
      </c>
      <c r="CJ26" s="38">
        <f t="shared" si="115"/>
        <v>5.0170517328931536</v>
      </c>
      <c r="CK26" s="38">
        <f t="shared" si="116"/>
        <v>10.499015261242128</v>
      </c>
      <c r="CL26" s="37">
        <v>4</v>
      </c>
      <c r="CM26" s="38">
        <f t="shared" ref="CM26:CM31" si="124">+CF26/10</f>
        <v>2.4944375593114616</v>
      </c>
      <c r="CN26" s="38">
        <f t="shared" si="117"/>
        <v>54.304737145396956</v>
      </c>
      <c r="CO26" s="145">
        <f t="shared" si="118"/>
        <v>6.555732402822094E-2</v>
      </c>
      <c r="CP26" s="63">
        <v>4.2850000000000001</v>
      </c>
      <c r="CQ26" s="327"/>
      <c r="CS26" s="271"/>
      <c r="CT26" s="133"/>
      <c r="CU26" s="133"/>
      <c r="CV26" s="133"/>
      <c r="CW26" s="133"/>
      <c r="CX26" s="133"/>
      <c r="CY26" s="133"/>
      <c r="CZ26" s="133"/>
      <c r="DA26" s="133"/>
      <c r="DB26" s="133"/>
      <c r="DC26" s="133"/>
      <c r="DD26" s="133"/>
      <c r="DE26" s="273"/>
      <c r="DF26" s="273"/>
      <c r="DG26" s="273"/>
      <c r="DH26" s="132"/>
      <c r="DI26" s="132"/>
      <c r="DJ26" s="132"/>
      <c r="DK26" s="132"/>
      <c r="DL26" s="132"/>
      <c r="DM26" s="132"/>
      <c r="DN26" s="132"/>
      <c r="DO26" s="132"/>
      <c r="DP26" s="132"/>
      <c r="DQ26" s="132"/>
      <c r="DR26" s="132"/>
      <c r="DS26" s="132"/>
      <c r="DT26" s="276"/>
      <c r="DU26" s="276"/>
      <c r="DV26" s="276"/>
      <c r="DW26" s="279"/>
      <c r="DX26" s="279"/>
      <c r="DY26" s="279"/>
      <c r="DZ26" s="279"/>
      <c r="EA26" s="279"/>
      <c r="EB26" s="279"/>
      <c r="EC26" s="279"/>
      <c r="ED26" s="279"/>
      <c r="EE26" s="279"/>
      <c r="EF26" s="279"/>
      <c r="EG26" s="279"/>
      <c r="EH26" s="279"/>
      <c r="EI26" s="281"/>
      <c r="EJ26" s="281"/>
      <c r="EK26" s="295"/>
      <c r="EL26" s="343">
        <v>79.48</v>
      </c>
      <c r="EM26" s="343">
        <v>4.37</v>
      </c>
      <c r="EN26" s="343">
        <v>11.83</v>
      </c>
      <c r="EO26" s="116"/>
      <c r="EP26" s="116"/>
      <c r="EQ26" s="116"/>
      <c r="ER26" s="116"/>
      <c r="ES26" s="116"/>
      <c r="ET26" s="116"/>
      <c r="EU26" s="116"/>
      <c r="EV26" s="116"/>
      <c r="EW26" s="116"/>
      <c r="EX26" s="116"/>
      <c r="EY26" s="116"/>
      <c r="EZ26" s="116"/>
    </row>
    <row r="27" spans="1:164" ht="26.25" customHeight="1" x14ac:dyDescent="0.3">
      <c r="A27" s="24" t="s">
        <v>30</v>
      </c>
      <c r="B27" s="24" t="s">
        <v>31</v>
      </c>
      <c r="C27" s="1">
        <v>2011</v>
      </c>
      <c r="D27" s="25">
        <v>179</v>
      </c>
      <c r="E27" s="25">
        <f>1.08</f>
        <v>1.08</v>
      </c>
      <c r="F27" s="25">
        <v>0</v>
      </c>
      <c r="G27" s="25">
        <f t="shared" si="0"/>
        <v>30.913333333333334</v>
      </c>
      <c r="H27" s="25">
        <f t="shared" si="1"/>
        <v>185.48</v>
      </c>
      <c r="I27" s="25">
        <v>0</v>
      </c>
      <c r="J27" s="25">
        <v>0</v>
      </c>
      <c r="K27" s="25">
        <v>0</v>
      </c>
      <c r="L27" s="25">
        <f t="shared" si="2"/>
        <v>0</v>
      </c>
      <c r="M27" s="25">
        <f t="shared" si="3"/>
        <v>0</v>
      </c>
      <c r="N27" s="25">
        <f t="shared" si="95"/>
        <v>30.913333333333334</v>
      </c>
      <c r="O27" s="25">
        <f t="shared" si="95"/>
        <v>185.48</v>
      </c>
      <c r="P27" s="26">
        <f t="shared" si="5"/>
        <v>1</v>
      </c>
      <c r="Q27" s="26">
        <f t="shared" si="89"/>
        <v>0.96506361871899937</v>
      </c>
      <c r="R27" s="26">
        <f t="shared" si="12"/>
        <v>3.4936381281000649E-2</v>
      </c>
      <c r="S27" s="26">
        <f t="shared" si="13"/>
        <v>0</v>
      </c>
      <c r="T27" s="207">
        <v>9.548</v>
      </c>
      <c r="U27" s="207">
        <v>0</v>
      </c>
      <c r="V27" s="207">
        <v>1176</v>
      </c>
      <c r="W27" s="25">
        <f t="shared" si="90"/>
        <v>1233.288</v>
      </c>
      <c r="X27" s="25">
        <f t="shared" si="92"/>
        <v>256.11599999999999</v>
      </c>
      <c r="Y27" s="25">
        <f t="shared" si="93"/>
        <v>205.548</v>
      </c>
      <c r="Z27" s="25">
        <f t="shared" si="94"/>
        <v>42.686000000000007</v>
      </c>
      <c r="AA27" s="204">
        <f t="shared" si="119"/>
        <v>0.26209920055015906</v>
      </c>
      <c r="AB27" s="27" t="s">
        <v>32</v>
      </c>
      <c r="AC27" s="28">
        <v>22</v>
      </c>
      <c r="AD27" s="28">
        <v>629</v>
      </c>
      <c r="AE27" s="28">
        <v>0</v>
      </c>
      <c r="AF27" s="28">
        <v>0</v>
      </c>
      <c r="AG27" s="29">
        <f t="shared" si="17"/>
        <v>651</v>
      </c>
      <c r="AH27" s="28">
        <v>-0.08</v>
      </c>
      <c r="AI27" s="28">
        <v>13.583</v>
      </c>
      <c r="AJ27" s="28">
        <v>0</v>
      </c>
      <c r="AK27" s="28">
        <v>0</v>
      </c>
      <c r="AL27" s="29">
        <f t="shared" si="56"/>
        <v>13.503</v>
      </c>
      <c r="AM27" s="28">
        <v>0</v>
      </c>
      <c r="AN27" s="28">
        <v>0</v>
      </c>
      <c r="AO27" s="28">
        <v>0</v>
      </c>
      <c r="AP27" s="28">
        <v>0</v>
      </c>
      <c r="AQ27" s="29">
        <f t="shared" si="91"/>
        <v>0</v>
      </c>
      <c r="AR27" s="29">
        <f t="shared" si="9"/>
        <v>732.01800000000003</v>
      </c>
      <c r="AS27" s="29">
        <f t="shared" si="10"/>
        <v>122.003</v>
      </c>
      <c r="AT27" s="30">
        <v>71.134</v>
      </c>
      <c r="AU27" s="30">
        <v>0</v>
      </c>
      <c r="AV27" s="30">
        <v>53.484000000000002</v>
      </c>
      <c r="AW27" s="30">
        <v>763.63499999999999</v>
      </c>
      <c r="AX27" s="31">
        <f t="shared" si="11"/>
        <v>888.25299999999993</v>
      </c>
      <c r="AY27" s="25">
        <f t="shared" si="96"/>
        <v>2310.0190000000002</v>
      </c>
      <c r="AZ27" s="25">
        <f t="shared" si="97"/>
        <v>302.6223333333333</v>
      </c>
      <c r="BA27" s="25">
        <f t="shared" si="98"/>
        <v>1815.7339999999999</v>
      </c>
      <c r="BB27" s="31">
        <f t="shared" si="99"/>
        <v>7.633339464921626</v>
      </c>
      <c r="BC27" s="31">
        <f t="shared" si="100"/>
        <v>1.2722232441536041</v>
      </c>
      <c r="BD27" s="27"/>
      <c r="BE27" s="32">
        <f>107.409+73.322</f>
        <v>180.73099999999999</v>
      </c>
      <c r="BF27" s="34">
        <v>0</v>
      </c>
      <c r="BG27" s="34">
        <v>104.667</v>
      </c>
      <c r="BH27" s="32">
        <f t="shared" si="120"/>
        <v>104.667</v>
      </c>
      <c r="BI27" s="34">
        <v>0</v>
      </c>
      <c r="BJ27" s="34">
        <v>65.352000000000004</v>
      </c>
      <c r="BK27" s="32">
        <f t="shared" si="121"/>
        <v>65.352000000000004</v>
      </c>
      <c r="BL27" s="34">
        <v>0</v>
      </c>
      <c r="BM27" s="34">
        <v>27.576000000000001</v>
      </c>
      <c r="BN27" s="32">
        <f t="shared" si="122"/>
        <v>27.576000000000001</v>
      </c>
      <c r="BO27" s="34">
        <v>0</v>
      </c>
      <c r="BP27" s="34">
        <v>53.671600000000005</v>
      </c>
      <c r="BQ27" s="32">
        <f t="shared" si="123"/>
        <v>53.671600000000005</v>
      </c>
      <c r="BR27" s="34">
        <v>796.51700000000005</v>
      </c>
      <c r="BS27" s="34">
        <v>796.51700000000005</v>
      </c>
      <c r="BT27" s="201">
        <f t="shared" si="101"/>
        <v>1</v>
      </c>
      <c r="BU27" s="35">
        <f t="shared" si="102"/>
        <v>431.99760000000003</v>
      </c>
      <c r="BV27" s="31">
        <f t="shared" si="103"/>
        <v>13.974474875997412</v>
      </c>
      <c r="BW27" s="31">
        <f t="shared" si="104"/>
        <v>2.329079145999569</v>
      </c>
      <c r="BX27" s="27"/>
      <c r="BY27" s="90">
        <f t="shared" si="105"/>
        <v>1320.2505999999998</v>
      </c>
      <c r="BZ27" s="38">
        <f t="shared" si="106"/>
        <v>132.02506</v>
      </c>
      <c r="CA27" s="140">
        <f t="shared" si="107"/>
        <v>0.14863452192111934</v>
      </c>
      <c r="CB27" s="38">
        <f t="shared" si="108"/>
        <v>4.2708128100064693</v>
      </c>
      <c r="CC27" s="38">
        <f t="shared" si="109"/>
        <v>0.71180213500107825</v>
      </c>
      <c r="CD27" s="38">
        <f t="shared" si="110"/>
        <v>28.733653224067282</v>
      </c>
      <c r="CE27" s="38">
        <f t="shared" si="110"/>
        <v>4.7889422040112137</v>
      </c>
      <c r="CF27" s="38">
        <f t="shared" si="111"/>
        <v>21.607814340919038</v>
      </c>
      <c r="CG27" s="38">
        <f t="shared" si="112"/>
        <v>25.878627150925507</v>
      </c>
      <c r="CH27" s="38">
        <f t="shared" si="113"/>
        <v>50.341467564986317</v>
      </c>
      <c r="CI27" s="38">
        <f t="shared" si="114"/>
        <v>3.6013023901531733</v>
      </c>
      <c r="CJ27" s="38">
        <f t="shared" si="115"/>
        <v>4.3131045251542517</v>
      </c>
      <c r="CK27" s="38">
        <f t="shared" si="116"/>
        <v>8.3902445941643862</v>
      </c>
      <c r="CL27" s="37">
        <v>4</v>
      </c>
      <c r="CM27" s="38">
        <f t="shared" si="124"/>
        <v>2.1607814340919038</v>
      </c>
      <c r="CN27" s="38">
        <f t="shared" si="117"/>
        <v>66.796956732561057</v>
      </c>
      <c r="CO27" s="145">
        <f t="shared" si="118"/>
        <v>7.5200372790816428E-2</v>
      </c>
      <c r="CP27" s="63">
        <v>5.3280000000000003</v>
      </c>
      <c r="CQ27" s="327"/>
      <c r="CS27" s="271"/>
      <c r="CT27" s="133"/>
      <c r="CU27" s="133"/>
      <c r="CV27" s="133"/>
      <c r="CW27" s="133"/>
      <c r="CX27" s="133"/>
      <c r="CY27" s="133"/>
      <c r="CZ27" s="133"/>
      <c r="DA27" s="133"/>
      <c r="DB27" s="133"/>
      <c r="DC27" s="133"/>
      <c r="DD27" s="133"/>
      <c r="DE27" s="273"/>
      <c r="DF27" s="273"/>
      <c r="DG27" s="273"/>
      <c r="DH27" s="132"/>
      <c r="DI27" s="132"/>
      <c r="DJ27" s="132"/>
      <c r="DK27" s="132"/>
      <c r="DL27" s="132"/>
      <c r="DM27" s="132"/>
      <c r="DN27" s="132"/>
      <c r="DO27" s="132"/>
      <c r="DP27" s="132"/>
      <c r="DQ27" s="132"/>
      <c r="DR27" s="132"/>
      <c r="DS27" s="132"/>
      <c r="DT27" s="276"/>
      <c r="DU27" s="276"/>
      <c r="DV27" s="276"/>
      <c r="DW27" s="279"/>
      <c r="DX27" s="279"/>
      <c r="DY27" s="279"/>
      <c r="DZ27" s="279"/>
      <c r="EA27" s="279"/>
      <c r="EB27" s="279"/>
      <c r="EC27" s="279"/>
      <c r="ED27" s="279"/>
      <c r="EE27" s="279"/>
      <c r="EF27" s="279"/>
      <c r="EG27" s="279"/>
      <c r="EH27" s="279"/>
      <c r="EI27" s="281"/>
      <c r="EJ27" s="281"/>
      <c r="EK27" s="295"/>
      <c r="EL27" s="343">
        <v>94.88</v>
      </c>
      <c r="EM27" s="343">
        <v>4</v>
      </c>
      <c r="EN27" s="343">
        <v>15.12</v>
      </c>
      <c r="EO27" s="116"/>
      <c r="EP27" s="116"/>
      <c r="EQ27" s="116"/>
      <c r="ER27" s="116"/>
      <c r="ES27" s="116"/>
      <c r="ET27" s="116"/>
      <c r="EU27" s="116"/>
      <c r="EV27" s="116"/>
      <c r="EW27" s="116"/>
      <c r="EX27" s="116"/>
      <c r="EY27" s="116"/>
      <c r="EZ27" s="116"/>
    </row>
    <row r="28" spans="1:164" ht="26.25" customHeight="1" x14ac:dyDescent="0.3">
      <c r="A28" s="39" t="s">
        <v>30</v>
      </c>
      <c r="B28" s="39" t="s">
        <v>31</v>
      </c>
      <c r="C28" s="22">
        <v>2012</v>
      </c>
      <c r="D28" s="25">
        <v>253</v>
      </c>
      <c r="E28" s="25">
        <f>2.407</f>
        <v>2.407</v>
      </c>
      <c r="F28" s="25">
        <v>0</v>
      </c>
      <c r="G28" s="25">
        <f t="shared" si="0"/>
        <v>44.573666666666668</v>
      </c>
      <c r="H28" s="25">
        <f t="shared" si="1"/>
        <v>267.44200000000001</v>
      </c>
      <c r="I28" s="25">
        <v>0</v>
      </c>
      <c r="J28" s="25">
        <v>0</v>
      </c>
      <c r="K28" s="25">
        <v>0</v>
      </c>
      <c r="L28" s="25">
        <f t="shared" si="2"/>
        <v>0</v>
      </c>
      <c r="M28" s="25">
        <f t="shared" si="3"/>
        <v>0</v>
      </c>
      <c r="N28" s="25">
        <f t="shared" si="95"/>
        <v>44.573666666666668</v>
      </c>
      <c r="O28" s="25">
        <f t="shared" si="95"/>
        <v>267.44200000000001</v>
      </c>
      <c r="P28" s="26">
        <f t="shared" si="5"/>
        <v>1</v>
      </c>
      <c r="Q28" s="26">
        <f t="shared" si="89"/>
        <v>0.94599950643504005</v>
      </c>
      <c r="R28" s="26">
        <f t="shared" si="12"/>
        <v>5.4000493564959881E-2</v>
      </c>
      <c r="S28" s="26">
        <f t="shared" si="13"/>
        <v>0</v>
      </c>
      <c r="T28" s="207">
        <v>11.545999999999999</v>
      </c>
      <c r="U28" s="207">
        <v>0</v>
      </c>
      <c r="V28" s="207">
        <v>1480</v>
      </c>
      <c r="W28" s="25">
        <f t="shared" si="90"/>
        <v>1549.2760000000001</v>
      </c>
      <c r="X28" s="25">
        <f t="shared" si="92"/>
        <v>315.98800000000006</v>
      </c>
      <c r="Y28" s="25">
        <f t="shared" si="93"/>
        <v>258.21266666666668</v>
      </c>
      <c r="Z28" s="25">
        <f t="shared" si="94"/>
        <v>52.664666666666676</v>
      </c>
      <c r="AA28" s="204">
        <f t="shared" si="119"/>
        <v>0.25621590415215267</v>
      </c>
      <c r="AB28" s="27" t="s">
        <v>33</v>
      </c>
      <c r="AC28" s="28">
        <v>207</v>
      </c>
      <c r="AD28" s="28">
        <v>869</v>
      </c>
      <c r="AE28" s="28">
        <v>0</v>
      </c>
      <c r="AF28" s="28">
        <v>0</v>
      </c>
      <c r="AG28" s="29">
        <f t="shared" si="17"/>
        <v>1076</v>
      </c>
      <c r="AH28" s="28">
        <v>-3.101</v>
      </c>
      <c r="AI28" s="28">
        <v>9.6280000000000001</v>
      </c>
      <c r="AJ28" s="28">
        <v>0</v>
      </c>
      <c r="AK28" s="28">
        <v>0</v>
      </c>
      <c r="AL28" s="29">
        <f t="shared" si="56"/>
        <v>6.5270000000000001</v>
      </c>
      <c r="AM28" s="28">
        <v>0</v>
      </c>
      <c r="AN28" s="28">
        <v>0</v>
      </c>
      <c r="AO28" s="28">
        <v>0</v>
      </c>
      <c r="AP28" s="28">
        <v>0</v>
      </c>
      <c r="AQ28" s="29">
        <f t="shared" si="91"/>
        <v>0</v>
      </c>
      <c r="AR28" s="29">
        <f t="shared" si="9"/>
        <v>1115.162</v>
      </c>
      <c r="AS28" s="29">
        <f t="shared" si="10"/>
        <v>185.86033333333333</v>
      </c>
      <c r="AT28" s="30">
        <v>88.88</v>
      </c>
      <c r="AU28" s="30">
        <v>0</v>
      </c>
      <c r="AV28" s="30">
        <v>59.198</v>
      </c>
      <c r="AW28" s="30">
        <v>821.80600000000004</v>
      </c>
      <c r="AX28" s="31">
        <f t="shared" si="11"/>
        <v>969.88400000000001</v>
      </c>
      <c r="AY28" s="25">
        <f t="shared" si="96"/>
        <v>2686.4920000000002</v>
      </c>
      <c r="AZ28" s="25">
        <f t="shared" si="97"/>
        <v>443.19316666666668</v>
      </c>
      <c r="BA28" s="25">
        <f t="shared" si="98"/>
        <v>2659.1589999999997</v>
      </c>
      <c r="BB28" s="31">
        <f t="shared" si="99"/>
        <v>6.0616728822909804</v>
      </c>
      <c r="BC28" s="31">
        <f t="shared" si="100"/>
        <v>1.0102788137151635</v>
      </c>
      <c r="BD28" s="27"/>
      <c r="BE28" s="40">
        <f>118.243+143.309</f>
        <v>261.55200000000002</v>
      </c>
      <c r="BF28" s="34">
        <v>0</v>
      </c>
      <c r="BG28" s="34">
        <v>121.239</v>
      </c>
      <c r="BH28" s="32">
        <f t="shared" si="120"/>
        <v>121.239</v>
      </c>
      <c r="BI28" s="34">
        <v>0</v>
      </c>
      <c r="BJ28" s="34">
        <v>22.501000000000001</v>
      </c>
      <c r="BK28" s="32">
        <f t="shared" si="121"/>
        <v>22.501000000000001</v>
      </c>
      <c r="BL28" s="34">
        <v>0</v>
      </c>
      <c r="BM28" s="34">
        <v>48.874000000000002</v>
      </c>
      <c r="BN28" s="32">
        <f t="shared" si="122"/>
        <v>48.874000000000002</v>
      </c>
      <c r="BO28" s="34">
        <v>0</v>
      </c>
      <c r="BP28" s="34">
        <v>51.094100000000005</v>
      </c>
      <c r="BQ28" s="32">
        <f t="shared" si="123"/>
        <v>51.094100000000005</v>
      </c>
      <c r="BR28" s="34">
        <v>1162.067</v>
      </c>
      <c r="BS28" s="34">
        <v>1162.067</v>
      </c>
      <c r="BT28" s="201">
        <f t="shared" si="101"/>
        <v>1</v>
      </c>
      <c r="BU28" s="35">
        <f t="shared" si="102"/>
        <v>505.26010000000002</v>
      </c>
      <c r="BV28" s="31">
        <f t="shared" si="103"/>
        <v>11.33539459022891</v>
      </c>
      <c r="BW28" s="31">
        <f t="shared" si="104"/>
        <v>1.8892324317048184</v>
      </c>
      <c r="BX28" s="27"/>
      <c r="BY28" s="90">
        <f t="shared" si="105"/>
        <v>1475.1441</v>
      </c>
      <c r="BZ28" s="38">
        <f t="shared" si="106"/>
        <v>147.51441</v>
      </c>
      <c r="CA28" s="140">
        <f t="shared" si="107"/>
        <v>0.15209490000866083</v>
      </c>
      <c r="CB28" s="38">
        <f t="shared" si="108"/>
        <v>3.3094519933293944</v>
      </c>
      <c r="CC28" s="38">
        <f t="shared" si="109"/>
        <v>0.55157533222156574</v>
      </c>
      <c r="CD28" s="38">
        <f t="shared" si="110"/>
        <v>21.759125343065037</v>
      </c>
      <c r="CE28" s="38">
        <f t="shared" si="110"/>
        <v>3.6265208905108395</v>
      </c>
      <c r="CF28" s="38">
        <f t="shared" si="111"/>
        <v>17.39706747251989</v>
      </c>
      <c r="CG28" s="38">
        <f t="shared" si="112"/>
        <v>20.706519465849283</v>
      </c>
      <c r="CH28" s="38">
        <f t="shared" si="113"/>
        <v>39.15619281558493</v>
      </c>
      <c r="CI28" s="38">
        <f t="shared" si="114"/>
        <v>2.8995112454199816</v>
      </c>
      <c r="CJ28" s="38">
        <f t="shared" si="115"/>
        <v>3.4510865776415471</v>
      </c>
      <c r="CK28" s="38">
        <f t="shared" si="116"/>
        <v>6.5260321359308211</v>
      </c>
      <c r="CL28" s="37">
        <v>4</v>
      </c>
      <c r="CM28" s="38">
        <f t="shared" si="124"/>
        <v>1.7397067472519889</v>
      </c>
      <c r="CN28" s="38">
        <f t="shared" si="117"/>
        <v>77.545108649761076</v>
      </c>
      <c r="CO28" s="145">
        <f t="shared" si="118"/>
        <v>7.9952972365521111E-2</v>
      </c>
      <c r="CP28" s="63">
        <v>10.39</v>
      </c>
      <c r="CQ28" s="327"/>
      <c r="CS28" s="270">
        <f>+CT28*CU28</f>
        <v>205.85999999999999</v>
      </c>
      <c r="CT28" s="269">
        <v>56.4</v>
      </c>
      <c r="CU28" s="133">
        <v>3.65</v>
      </c>
      <c r="CV28" s="269">
        <f>+CW28*CX28</f>
        <v>200.68800000000002</v>
      </c>
      <c r="CW28" s="269">
        <v>59.2</v>
      </c>
      <c r="CX28" s="133">
        <v>3.39</v>
      </c>
      <c r="CY28" s="269">
        <f>+CZ28*DA28</f>
        <v>230.73600000000002</v>
      </c>
      <c r="CZ28" s="269">
        <v>62.7</v>
      </c>
      <c r="DA28" s="133">
        <v>3.68</v>
      </c>
      <c r="DB28" s="269">
        <f t="shared" ref="DB28:DC30" si="125">+DE28-CS28-CV28-CY28</f>
        <v>291.95999999999992</v>
      </c>
      <c r="DC28" s="269">
        <f t="shared" si="125"/>
        <v>74.899999999999963</v>
      </c>
      <c r="DD28" s="133">
        <f>+DB28/DC28</f>
        <v>3.8979973297730317</v>
      </c>
      <c r="DE28" s="274">
        <f>+DF28*DG28</f>
        <v>929.24399999999991</v>
      </c>
      <c r="DF28" s="274">
        <v>253.2</v>
      </c>
      <c r="DG28" s="273">
        <v>3.67</v>
      </c>
      <c r="DH28" s="272">
        <v>49.981000000000002</v>
      </c>
      <c r="DI28" s="272">
        <f>+DH28/DJ28</f>
        <v>0.51702699906899763</v>
      </c>
      <c r="DJ28" s="296">
        <v>96.67</v>
      </c>
      <c r="DK28" s="272">
        <v>57.466000000000001</v>
      </c>
      <c r="DL28" s="272">
        <f>+DK28/DM28</f>
        <v>0.5600428808108372</v>
      </c>
      <c r="DM28" s="296">
        <v>102.61</v>
      </c>
      <c r="DN28" s="272">
        <v>57.87</v>
      </c>
      <c r="DO28" s="272">
        <f>+DN28/DP28</f>
        <v>0.57104795737122549</v>
      </c>
      <c r="DP28" s="296">
        <v>101.34</v>
      </c>
      <c r="DQ28" s="272">
        <f t="shared" ref="DQ28:DR31" si="126">+DT28-DN28-DK28-DH28</f>
        <v>62.615999999999978</v>
      </c>
      <c r="DR28" s="272">
        <f t="shared" si="126"/>
        <v>0.59421369250791634</v>
      </c>
      <c r="DS28" s="296">
        <f>+DQ28/DR28</f>
        <v>105.37623213582508</v>
      </c>
      <c r="DT28" s="277">
        <v>227.93299999999999</v>
      </c>
      <c r="DU28" s="277">
        <f>+DT28/DV28</f>
        <v>2.2423315297589768</v>
      </c>
      <c r="DV28" s="297">
        <v>101.65</v>
      </c>
      <c r="DW28" s="99"/>
      <c r="DX28" s="99"/>
      <c r="DY28" s="298"/>
      <c r="DZ28" s="99"/>
      <c r="EA28" s="99"/>
      <c r="EB28" s="298"/>
      <c r="EC28" s="99"/>
      <c r="ED28" s="99"/>
      <c r="EE28" s="298"/>
      <c r="EF28" s="99"/>
      <c r="EG28" s="99"/>
      <c r="EH28" s="298"/>
      <c r="EI28" s="282"/>
      <c r="EJ28" s="282"/>
      <c r="EK28" s="299"/>
      <c r="EL28" s="344">
        <v>94.05</v>
      </c>
      <c r="EM28" s="344">
        <v>2.75</v>
      </c>
      <c r="EN28" s="344">
        <v>10.98</v>
      </c>
      <c r="EO28" s="74">
        <v>2.41</v>
      </c>
      <c r="EP28" s="74">
        <v>2.2799999999999998</v>
      </c>
      <c r="EQ28" s="74">
        <v>2.88</v>
      </c>
      <c r="ER28" s="74">
        <v>3.4</v>
      </c>
      <c r="ES28" s="74">
        <v>13.14</v>
      </c>
      <c r="ET28" s="74">
        <v>10.75</v>
      </c>
      <c r="EU28" s="74">
        <v>9.9600000000000009</v>
      </c>
      <c r="EV28" s="74">
        <v>10.08</v>
      </c>
      <c r="EW28" s="74">
        <v>102.98</v>
      </c>
      <c r="EX28" s="74">
        <v>93.29</v>
      </c>
      <c r="EY28" s="74">
        <v>92.17</v>
      </c>
      <c r="EZ28" s="74">
        <v>88.01</v>
      </c>
    </row>
    <row r="29" spans="1:164" ht="26.25" customHeight="1" x14ac:dyDescent="0.3">
      <c r="A29" s="43" t="s">
        <v>30</v>
      </c>
      <c r="B29" s="43" t="s">
        <v>31</v>
      </c>
      <c r="C29" s="53">
        <v>2013</v>
      </c>
      <c r="D29" s="52">
        <v>394</v>
      </c>
      <c r="E29" s="52">
        <f>3.221</f>
        <v>3.2210000000000001</v>
      </c>
      <c r="F29" s="52">
        <v>0</v>
      </c>
      <c r="G29" s="52">
        <f t="shared" si="0"/>
        <v>68.887666666666675</v>
      </c>
      <c r="H29" s="52">
        <f t="shared" si="1"/>
        <v>413.32600000000002</v>
      </c>
      <c r="I29" s="52">
        <v>0</v>
      </c>
      <c r="J29" s="52">
        <v>0</v>
      </c>
      <c r="K29" s="52">
        <v>0</v>
      </c>
      <c r="L29" s="52">
        <f t="shared" si="2"/>
        <v>0</v>
      </c>
      <c r="M29" s="52">
        <f t="shared" si="3"/>
        <v>0</v>
      </c>
      <c r="N29" s="52">
        <f t="shared" si="95"/>
        <v>68.887666666666675</v>
      </c>
      <c r="O29" s="52">
        <f t="shared" si="95"/>
        <v>413.32600000000002</v>
      </c>
      <c r="P29" s="54">
        <f t="shared" si="5"/>
        <v>1</v>
      </c>
      <c r="Q29" s="54">
        <f t="shared" si="89"/>
        <v>0.95324271882243072</v>
      </c>
      <c r="R29" s="54">
        <f t="shared" si="12"/>
        <v>4.6757281177569276E-2</v>
      </c>
      <c r="S29" s="54">
        <f t="shared" si="13"/>
        <v>0</v>
      </c>
      <c r="T29" s="208">
        <v>12.885999999999999</v>
      </c>
      <c r="U29" s="208">
        <v>0</v>
      </c>
      <c r="V29" s="208">
        <v>2148</v>
      </c>
      <c r="W29" s="52">
        <f t="shared" si="90"/>
        <v>2225.3159999999998</v>
      </c>
      <c r="X29" s="52">
        <f t="shared" si="92"/>
        <v>676.03999999999974</v>
      </c>
      <c r="Y29" s="52">
        <f t="shared" si="93"/>
        <v>370.88600000000002</v>
      </c>
      <c r="Z29" s="52">
        <f t="shared" si="94"/>
        <v>112.67333333333335</v>
      </c>
      <c r="AA29" s="205">
        <f t="shared" si="119"/>
        <v>0.43635866043235683</v>
      </c>
      <c r="AB29" s="44" t="s">
        <v>34</v>
      </c>
      <c r="AC29" s="45">
        <v>435</v>
      </c>
      <c r="AD29" s="45">
        <v>1661</v>
      </c>
      <c r="AE29" s="45">
        <v>0</v>
      </c>
      <c r="AF29" s="45">
        <v>0</v>
      </c>
      <c r="AG29" s="55">
        <f t="shared" si="17"/>
        <v>2096</v>
      </c>
      <c r="AH29" s="45">
        <v>-0.41899999999999998</v>
      </c>
      <c r="AI29" s="45">
        <v>10.683</v>
      </c>
      <c r="AJ29" s="45">
        <v>0</v>
      </c>
      <c r="AK29" s="45">
        <v>0</v>
      </c>
      <c r="AL29" s="55">
        <f t="shared" si="56"/>
        <v>10.263999999999999</v>
      </c>
      <c r="AM29" s="45">
        <v>0</v>
      </c>
      <c r="AN29" s="45">
        <v>0</v>
      </c>
      <c r="AO29" s="45">
        <v>0</v>
      </c>
      <c r="AP29" s="45">
        <v>0</v>
      </c>
      <c r="AQ29" s="55">
        <f t="shared" si="91"/>
        <v>0</v>
      </c>
      <c r="AR29" s="55">
        <f t="shared" si="9"/>
        <v>2157.5839999999998</v>
      </c>
      <c r="AS29" s="55">
        <f t="shared" si="10"/>
        <v>359.59733333333332</v>
      </c>
      <c r="AT29" s="46">
        <v>71.233999999999995</v>
      </c>
      <c r="AU29" s="46">
        <v>0</v>
      </c>
      <c r="AV29" s="46">
        <v>44.905999999999999</v>
      </c>
      <c r="AW29" s="46">
        <v>1069.9649999999999</v>
      </c>
      <c r="AX29" s="50">
        <f t="shared" si="11"/>
        <v>1186.105</v>
      </c>
      <c r="AY29" s="52">
        <f t="shared" si="96"/>
        <v>3044.2420000000002</v>
      </c>
      <c r="AZ29" s="52">
        <f t="shared" si="97"/>
        <v>667.46066666666661</v>
      </c>
      <c r="BA29" s="52">
        <f t="shared" si="98"/>
        <v>4004.7640000000001</v>
      </c>
      <c r="BB29" s="50">
        <f t="shared" si="99"/>
        <v>4.5609309312608692</v>
      </c>
      <c r="BC29" s="50">
        <f t="shared" si="100"/>
        <v>0.76015515521014476</v>
      </c>
      <c r="BD29" s="44"/>
      <c r="BE29" s="47">
        <f>140.856+229.486</f>
        <v>370.34199999999998</v>
      </c>
      <c r="BF29" s="48">
        <v>0</v>
      </c>
      <c r="BG29" s="48">
        <v>104.60599999999999</v>
      </c>
      <c r="BH29" s="47">
        <f t="shared" si="120"/>
        <v>104.60599999999999</v>
      </c>
      <c r="BI29" s="48">
        <v>0</v>
      </c>
      <c r="BJ29" s="48">
        <v>35.280999999999999</v>
      </c>
      <c r="BK29" s="47">
        <f t="shared" si="121"/>
        <v>35.280999999999999</v>
      </c>
      <c r="BL29" s="48">
        <v>0</v>
      </c>
      <c r="BM29" s="48">
        <v>43.045000000000002</v>
      </c>
      <c r="BN29" s="47">
        <f t="shared" si="122"/>
        <v>43.045000000000002</v>
      </c>
      <c r="BO29" s="34">
        <v>0</v>
      </c>
      <c r="BP29" s="48">
        <v>53.301100000000005</v>
      </c>
      <c r="BQ29" s="47">
        <f t="shared" si="123"/>
        <v>53.301100000000005</v>
      </c>
      <c r="BR29" s="48">
        <v>1696.6799999999998</v>
      </c>
      <c r="BS29" s="48">
        <v>1696.6799999999998</v>
      </c>
      <c r="BT29" s="202">
        <f t="shared" si="101"/>
        <v>1</v>
      </c>
      <c r="BU29" s="49">
        <f t="shared" si="102"/>
        <v>606.57510000000002</v>
      </c>
      <c r="BV29" s="50">
        <f t="shared" si="103"/>
        <v>8.8052786420404221</v>
      </c>
      <c r="BW29" s="50">
        <f t="shared" si="104"/>
        <v>1.4675464403400704</v>
      </c>
      <c r="BX29" s="44"/>
      <c r="BY29" s="91">
        <f t="shared" si="105"/>
        <v>1792.6801</v>
      </c>
      <c r="BZ29" s="56">
        <f t="shared" si="106"/>
        <v>179.26801</v>
      </c>
      <c r="CA29" s="141">
        <f t="shared" si="107"/>
        <v>0.15114008456249658</v>
      </c>
      <c r="CB29" s="56">
        <f t="shared" si="108"/>
        <v>2.6023237347759394</v>
      </c>
      <c r="CC29" s="56">
        <f t="shared" si="109"/>
        <v>0.43372062246265658</v>
      </c>
      <c r="CD29" s="56">
        <f t="shared" si="110"/>
        <v>17.217958705718971</v>
      </c>
      <c r="CE29" s="56">
        <f t="shared" si="110"/>
        <v>2.8696597842864953</v>
      </c>
      <c r="CF29" s="56">
        <f t="shared" si="111"/>
        <v>13.36620957330129</v>
      </c>
      <c r="CG29" s="56">
        <f t="shared" si="112"/>
        <v>15.96853330807723</v>
      </c>
      <c r="CH29" s="56">
        <f t="shared" si="113"/>
        <v>30.584168279020261</v>
      </c>
      <c r="CI29" s="56">
        <f t="shared" si="114"/>
        <v>2.2277015955502151</v>
      </c>
      <c r="CJ29" s="38">
        <f t="shared" si="115"/>
        <v>2.6614222180128717</v>
      </c>
      <c r="CK29" s="56">
        <f t="shared" si="116"/>
        <v>5.0973613798367108</v>
      </c>
      <c r="CL29" s="51">
        <v>4</v>
      </c>
      <c r="CM29" s="56">
        <f t="shared" si="124"/>
        <v>1.3366209573301291</v>
      </c>
      <c r="CN29" s="56">
        <f t="shared" si="117"/>
        <v>92.07669896823883</v>
      </c>
      <c r="CO29" s="145">
        <f t="shared" si="118"/>
        <v>7.7629467010288999E-2</v>
      </c>
      <c r="CP29" s="63">
        <v>0</v>
      </c>
      <c r="CQ29" s="327"/>
      <c r="CS29" s="270">
        <f>+CT29*CU29</f>
        <v>293.94</v>
      </c>
      <c r="CT29" s="269">
        <v>85.2</v>
      </c>
      <c r="CU29" s="133">
        <v>3.45</v>
      </c>
      <c r="CV29" s="269">
        <f>+CW29*CX29</f>
        <v>368.24199999999996</v>
      </c>
      <c r="CW29" s="269">
        <v>90.7</v>
      </c>
      <c r="CX29" s="133">
        <v>4.0599999999999996</v>
      </c>
      <c r="CY29" s="269">
        <f>+CZ29*DA29</f>
        <v>341.71199999999999</v>
      </c>
      <c r="CZ29" s="269">
        <v>101.7</v>
      </c>
      <c r="DA29" s="133">
        <v>3.36</v>
      </c>
      <c r="DB29" s="269">
        <f t="shared" si="125"/>
        <v>399.45800000000008</v>
      </c>
      <c r="DC29" s="269">
        <f t="shared" si="125"/>
        <v>116.60000000000001</v>
      </c>
      <c r="DD29" s="133">
        <f>+DB29/DC29</f>
        <v>3.4258833619210982</v>
      </c>
      <c r="DE29" s="274">
        <f>+DF29*DG29</f>
        <v>1403.3520000000001</v>
      </c>
      <c r="DF29" s="274">
        <v>394.2</v>
      </c>
      <c r="DG29" s="273">
        <v>3.56</v>
      </c>
      <c r="DH29" s="272">
        <v>65.655000000000001</v>
      </c>
      <c r="DI29" s="272">
        <f>+DH29/DJ29</f>
        <v>0.63111602422378166</v>
      </c>
      <c r="DJ29" s="296">
        <v>104.03</v>
      </c>
      <c r="DK29" s="272">
        <v>70.225999999999999</v>
      </c>
      <c r="DL29" s="272">
        <f>+DK29/DM29</f>
        <v>0.692632409507841</v>
      </c>
      <c r="DM29" s="296">
        <v>101.39</v>
      </c>
      <c r="DN29" s="272">
        <v>84.209000000000003</v>
      </c>
      <c r="DO29" s="272">
        <f>+DN29/DP29</f>
        <v>0.81157478797224358</v>
      </c>
      <c r="DP29" s="296">
        <v>103.76</v>
      </c>
      <c r="DQ29" s="272">
        <f t="shared" si="126"/>
        <v>71.328000000000003</v>
      </c>
      <c r="DR29" s="272">
        <f t="shared" si="126"/>
        <v>0.74629449806277082</v>
      </c>
      <c r="DS29" s="296">
        <f>+DQ29/DR29</f>
        <v>95.576210443937384</v>
      </c>
      <c r="DT29" s="277">
        <v>291.41800000000001</v>
      </c>
      <c r="DU29" s="277">
        <f>+DT29/DV29</f>
        <v>2.8816177197666373</v>
      </c>
      <c r="DV29" s="297">
        <v>101.13</v>
      </c>
      <c r="DW29" s="99"/>
      <c r="DX29" s="99"/>
      <c r="DY29" s="298"/>
      <c r="DZ29" s="99"/>
      <c r="EA29" s="99"/>
      <c r="EB29" s="298"/>
      <c r="EC29" s="99"/>
      <c r="ED29" s="99"/>
      <c r="EE29" s="298"/>
      <c r="EF29" s="99"/>
      <c r="EG29" s="99"/>
      <c r="EH29" s="298"/>
      <c r="EI29" s="282"/>
      <c r="EJ29" s="282"/>
      <c r="EK29" s="299"/>
      <c r="EL29" s="344">
        <v>97.98</v>
      </c>
      <c r="EM29" s="344">
        <v>3.73</v>
      </c>
      <c r="EN29" s="344">
        <v>9.94</v>
      </c>
      <c r="EO29" s="74">
        <v>3.49</v>
      </c>
      <c r="EP29" s="74">
        <v>4.01</v>
      </c>
      <c r="EQ29" s="74">
        <v>3.56</v>
      </c>
      <c r="ER29" s="74">
        <v>3.85</v>
      </c>
      <c r="ES29" s="74">
        <v>9.77</v>
      </c>
      <c r="ET29" s="74">
        <v>9.39</v>
      </c>
      <c r="EU29" s="74">
        <v>10.01</v>
      </c>
      <c r="EV29" s="74">
        <v>10.53</v>
      </c>
      <c r="EW29" s="74">
        <v>94.33</v>
      </c>
      <c r="EX29" s="74">
        <v>94.05</v>
      </c>
      <c r="EY29" s="74">
        <v>105.83</v>
      </c>
      <c r="EZ29" s="74">
        <v>97.44</v>
      </c>
    </row>
    <row r="30" spans="1:164" ht="26.25" customHeight="1" x14ac:dyDescent="0.3">
      <c r="A30" s="43" t="s">
        <v>30</v>
      </c>
      <c r="B30" s="43" t="s">
        <v>31</v>
      </c>
      <c r="C30" s="53">
        <v>2014</v>
      </c>
      <c r="D30" s="52">
        <v>508</v>
      </c>
      <c r="E30" s="52">
        <v>3.9609999999999999</v>
      </c>
      <c r="F30" s="52">
        <v>0</v>
      </c>
      <c r="G30" s="52">
        <f t="shared" si="0"/>
        <v>88.62766666666667</v>
      </c>
      <c r="H30" s="52">
        <f t="shared" si="1"/>
        <v>531.76599999999996</v>
      </c>
      <c r="I30" s="52">
        <v>0</v>
      </c>
      <c r="J30" s="52">
        <v>0</v>
      </c>
      <c r="K30" s="52">
        <v>0</v>
      </c>
      <c r="L30" s="52">
        <f t="shared" si="2"/>
        <v>0</v>
      </c>
      <c r="M30" s="52">
        <f t="shared" si="3"/>
        <v>0</v>
      </c>
      <c r="N30" s="52">
        <f t="shared" si="95"/>
        <v>88.62766666666667</v>
      </c>
      <c r="O30" s="52">
        <f t="shared" si="95"/>
        <v>531.76599999999996</v>
      </c>
      <c r="P30" s="54">
        <f t="shared" si="5"/>
        <v>1</v>
      </c>
      <c r="Q30" s="54">
        <f t="shared" ref="Q30:Q49" si="127">D30/H30</f>
        <v>0.9553074096501093</v>
      </c>
      <c r="R30" s="54">
        <f t="shared" si="12"/>
        <v>4.4692590349890739E-2</v>
      </c>
      <c r="S30" s="54">
        <f t="shared" si="13"/>
        <v>0</v>
      </c>
      <c r="T30" s="208">
        <v>25.914999999999999</v>
      </c>
      <c r="U30" s="208">
        <v>0</v>
      </c>
      <c r="V30" s="208">
        <v>2743</v>
      </c>
      <c r="W30" s="52">
        <f t="shared" si="90"/>
        <v>2898.49</v>
      </c>
      <c r="X30" s="52">
        <f t="shared" si="92"/>
        <v>673.17399999999998</v>
      </c>
      <c r="Y30" s="52">
        <f t="shared" si="93"/>
        <v>483.08166666666671</v>
      </c>
      <c r="Z30" s="52">
        <f t="shared" si="94"/>
        <v>112.19566666666668</v>
      </c>
      <c r="AA30" s="205">
        <f t="shared" si="119"/>
        <v>0.30250714954640151</v>
      </c>
      <c r="AB30" s="44"/>
      <c r="AC30" s="45">
        <v>483</v>
      </c>
      <c r="AD30" s="45">
        <v>1807</v>
      </c>
      <c r="AE30" s="45">
        <v>7</v>
      </c>
      <c r="AF30" s="45">
        <v>0</v>
      </c>
      <c r="AG30" s="55">
        <f>SUM(AC30:AF30)</f>
        <v>2297</v>
      </c>
      <c r="AH30" s="45">
        <v>1.6879999999999999</v>
      </c>
      <c r="AI30" s="45">
        <v>17.222999999999999</v>
      </c>
      <c r="AJ30" s="45">
        <v>11.778</v>
      </c>
      <c r="AK30" s="45">
        <v>0</v>
      </c>
      <c r="AL30" s="55">
        <f t="shared" si="56"/>
        <v>30.689</v>
      </c>
      <c r="AM30" s="45">
        <v>0</v>
      </c>
      <c r="AN30" s="45">
        <v>0</v>
      </c>
      <c r="AO30" s="45">
        <v>0</v>
      </c>
      <c r="AP30" s="45">
        <v>0</v>
      </c>
      <c r="AQ30" s="55">
        <f>SUM(AM30:AP30)</f>
        <v>0</v>
      </c>
      <c r="AR30" s="55">
        <f t="shared" si="9"/>
        <v>2481.134</v>
      </c>
      <c r="AS30" s="55">
        <f t="shared" si="10"/>
        <v>413.52233333333334</v>
      </c>
      <c r="AT30" s="46">
        <v>73.962000000000003</v>
      </c>
      <c r="AU30" s="46">
        <v>214.73699999999999</v>
      </c>
      <c r="AV30" s="46">
        <v>36.305999999999997</v>
      </c>
      <c r="AW30" s="46">
        <v>1446.7280000000001</v>
      </c>
      <c r="AX30" s="50">
        <f t="shared" si="11"/>
        <v>1771.7330000000002</v>
      </c>
      <c r="AY30" s="52">
        <f t="shared" si="96"/>
        <v>3927.7220000000002</v>
      </c>
      <c r="AZ30" s="52">
        <f t="shared" si="97"/>
        <v>958.98</v>
      </c>
      <c r="BA30" s="52">
        <f t="shared" si="98"/>
        <v>5753.88</v>
      </c>
      <c r="BB30" s="50">
        <f t="shared" si="99"/>
        <v>4.0957287951782106</v>
      </c>
      <c r="BC30" s="50">
        <f t="shared" si="100"/>
        <v>0.68262146586303507</v>
      </c>
      <c r="BD30" s="44" t="s">
        <v>90</v>
      </c>
      <c r="BE30" s="47">
        <f>145.529+349.321</f>
        <v>494.85</v>
      </c>
      <c r="BF30" s="48">
        <v>0</v>
      </c>
      <c r="BG30" s="48">
        <v>82.59</v>
      </c>
      <c r="BH30" s="47">
        <f t="shared" si="120"/>
        <v>82.59</v>
      </c>
      <c r="BI30" s="48">
        <v>0</v>
      </c>
      <c r="BJ30" s="48">
        <v>77.028999999999996</v>
      </c>
      <c r="BK30" s="47">
        <f t="shared" si="121"/>
        <v>77.028999999999996</v>
      </c>
      <c r="BL30" s="48">
        <v>0</v>
      </c>
      <c r="BM30" s="48">
        <v>47.012</v>
      </c>
      <c r="BN30" s="47">
        <f t="shared" si="122"/>
        <v>47.012</v>
      </c>
      <c r="BO30" s="34">
        <v>0</v>
      </c>
      <c r="BP30" s="48">
        <v>63.305266666666668</v>
      </c>
      <c r="BQ30" s="47">
        <f t="shared" si="123"/>
        <v>63.305266666666668</v>
      </c>
      <c r="BR30" s="48">
        <v>1904.5140000000001</v>
      </c>
      <c r="BS30" s="48">
        <v>1904.5140000000001</v>
      </c>
      <c r="BT30" s="202">
        <f t="shared" si="101"/>
        <v>1</v>
      </c>
      <c r="BU30" s="49">
        <f t="shared" si="102"/>
        <v>764.78626666666673</v>
      </c>
      <c r="BV30" s="50">
        <f t="shared" si="103"/>
        <v>8.6292045749446196</v>
      </c>
      <c r="BW30" s="50">
        <f t="shared" si="104"/>
        <v>1.43820076249077</v>
      </c>
      <c r="BX30" s="44"/>
      <c r="BY30" s="91">
        <f t="shared" si="105"/>
        <v>2536.5192666666671</v>
      </c>
      <c r="BZ30" s="56">
        <f t="shared" si="106"/>
        <v>253.65192666666672</v>
      </c>
      <c r="CA30" s="141">
        <f t="shared" si="107"/>
        <v>0.14316599999360327</v>
      </c>
      <c r="CB30" s="56">
        <f t="shared" si="108"/>
        <v>2.8619948624018843</v>
      </c>
      <c r="CC30" s="56">
        <f t="shared" si="109"/>
        <v>0.47699914373364738</v>
      </c>
      <c r="CD30" s="56">
        <f t="shared" si="110"/>
        <v>19.99074404907422</v>
      </c>
      <c r="CE30" s="56">
        <f t="shared" si="110"/>
        <v>3.3317906748457036</v>
      </c>
      <c r="CF30" s="56">
        <f t="shared" si="111"/>
        <v>12.72493337012283</v>
      </c>
      <c r="CG30" s="56">
        <f t="shared" si="112"/>
        <v>15.586928232524714</v>
      </c>
      <c r="CH30" s="56">
        <f t="shared" si="113"/>
        <v>32.71567741919705</v>
      </c>
      <c r="CI30" s="56">
        <f t="shared" si="114"/>
        <v>2.1208222283538052</v>
      </c>
      <c r="CJ30" s="56">
        <f t="shared" si="115"/>
        <v>2.5978213720874526</v>
      </c>
      <c r="CK30" s="56">
        <f t="shared" si="116"/>
        <v>5.4526129031995083</v>
      </c>
      <c r="CL30" s="51">
        <v>4</v>
      </c>
      <c r="CM30" s="56">
        <f t="shared" si="124"/>
        <v>1.2724933370122831</v>
      </c>
      <c r="CN30" s="56">
        <f t="shared" si="117"/>
        <v>112.77811530827896</v>
      </c>
      <c r="CO30" s="173">
        <f t="shared" si="118"/>
        <v>6.3654125823856614E-2</v>
      </c>
      <c r="CP30" s="174">
        <v>10.557</v>
      </c>
      <c r="CQ30" s="328"/>
      <c r="CR30" s="82"/>
      <c r="CS30" s="270">
        <f>+CT30*CU30</f>
        <v>433.09200000000004</v>
      </c>
      <c r="CT30" s="269">
        <v>115.8</v>
      </c>
      <c r="CU30" s="133">
        <v>3.74</v>
      </c>
      <c r="CV30" s="269">
        <f>+CW30*CX30</f>
        <v>437.62099999999998</v>
      </c>
      <c r="CW30" s="269">
        <v>121.9</v>
      </c>
      <c r="CX30" s="133">
        <v>3.59</v>
      </c>
      <c r="CY30" s="269">
        <f>+CZ30*DA30</f>
        <v>348.42500000000001</v>
      </c>
      <c r="CZ30" s="269">
        <v>126.7</v>
      </c>
      <c r="DA30" s="133">
        <v>2.75</v>
      </c>
      <c r="DB30" s="269">
        <f t="shared" si="125"/>
        <v>370.90199999999987</v>
      </c>
      <c r="DC30" s="269">
        <f t="shared" si="125"/>
        <v>143.59999999999997</v>
      </c>
      <c r="DD30" s="133">
        <f>+DB30/DC30</f>
        <v>2.5828830083565455</v>
      </c>
      <c r="DE30" s="274">
        <f>+DF30*DG30</f>
        <v>1590.04</v>
      </c>
      <c r="DF30" s="274">
        <v>508</v>
      </c>
      <c r="DG30" s="273">
        <v>3.13</v>
      </c>
      <c r="DH30" s="272">
        <v>59.143999999999998</v>
      </c>
      <c r="DI30" s="272">
        <f>+DH30/DJ30</f>
        <v>0.60499181669394431</v>
      </c>
      <c r="DJ30" s="296">
        <v>97.76</v>
      </c>
      <c r="DK30" s="272">
        <v>86.340999999999994</v>
      </c>
      <c r="DL30" s="272">
        <f>+DK30/DM30</f>
        <v>0.86897141706924308</v>
      </c>
      <c r="DM30" s="296">
        <v>99.36</v>
      </c>
      <c r="DN30" s="272">
        <v>82.563000000000002</v>
      </c>
      <c r="DO30" s="272">
        <f>+DN30/DP30</f>
        <v>0.87202154626108996</v>
      </c>
      <c r="DP30" s="296">
        <v>94.68</v>
      </c>
      <c r="DQ30" s="272">
        <f t="shared" si="126"/>
        <v>85.841000000000008</v>
      </c>
      <c r="DR30" s="272">
        <f t="shared" si="126"/>
        <v>1.2420152199757228</v>
      </c>
      <c r="DS30" s="296">
        <f>+DQ30/DR30</f>
        <v>69.114289921244207</v>
      </c>
      <c r="DT30" s="277">
        <v>313.88900000000001</v>
      </c>
      <c r="DU30" s="277">
        <v>3.5880000000000001</v>
      </c>
      <c r="DV30" s="297">
        <v>87.48</v>
      </c>
      <c r="DW30" s="99"/>
      <c r="DX30" s="99"/>
      <c r="DY30" s="298"/>
      <c r="DZ30" s="99"/>
      <c r="EA30" s="99"/>
      <c r="EB30" s="298"/>
      <c r="EC30" s="99"/>
      <c r="ED30" s="99"/>
      <c r="EE30" s="298"/>
      <c r="EF30" s="99"/>
      <c r="EG30" s="99"/>
      <c r="EH30" s="298"/>
      <c r="EI30" s="282"/>
      <c r="EJ30" s="282"/>
      <c r="EK30" s="299"/>
      <c r="EL30" s="344">
        <v>93.17</v>
      </c>
      <c r="EM30" s="344">
        <v>4.37</v>
      </c>
      <c r="EN30" s="344">
        <v>9.56</v>
      </c>
      <c r="EO30" s="74">
        <v>5.21</v>
      </c>
      <c r="EP30" s="74">
        <v>4.6100000000000003</v>
      </c>
      <c r="EQ30" s="74">
        <v>3.96</v>
      </c>
      <c r="ER30" s="74">
        <v>3.8</v>
      </c>
      <c r="ES30" s="74">
        <v>11.19</v>
      </c>
      <c r="ET30" s="74">
        <v>10.15</v>
      </c>
      <c r="EU30" s="74">
        <v>9.83</v>
      </c>
      <c r="EV30" s="74">
        <v>7.41</v>
      </c>
      <c r="EW30" s="74">
        <v>98.68</v>
      </c>
      <c r="EX30" s="74">
        <v>103.35</v>
      </c>
      <c r="EY30" s="74">
        <v>97.87</v>
      </c>
      <c r="EZ30" s="74">
        <v>73.209999999999994</v>
      </c>
    </row>
    <row r="31" spans="1:164" s="225" customFormat="1" ht="26.25" customHeight="1" x14ac:dyDescent="0.3">
      <c r="A31" s="43" t="s">
        <v>30</v>
      </c>
      <c r="B31" s="43" t="s">
        <v>31</v>
      </c>
      <c r="C31" s="53">
        <v>2015</v>
      </c>
      <c r="D31" s="52">
        <v>566</v>
      </c>
      <c r="E31" s="52">
        <v>6.0960000000000001</v>
      </c>
      <c r="F31" s="52">
        <v>0</v>
      </c>
      <c r="G31" s="52">
        <f t="shared" si="0"/>
        <v>100.42933333333333</v>
      </c>
      <c r="H31" s="52">
        <f t="shared" si="1"/>
        <v>602.57600000000002</v>
      </c>
      <c r="I31" s="52">
        <v>0</v>
      </c>
      <c r="J31" s="52">
        <v>0</v>
      </c>
      <c r="K31" s="52">
        <v>0</v>
      </c>
      <c r="L31" s="52">
        <f t="shared" si="2"/>
        <v>0</v>
      </c>
      <c r="M31" s="52">
        <f t="shared" si="3"/>
        <v>0</v>
      </c>
      <c r="N31" s="52">
        <f t="shared" si="95"/>
        <v>100.42933333333333</v>
      </c>
      <c r="O31" s="52">
        <f t="shared" si="95"/>
        <v>602.57600000000002</v>
      </c>
      <c r="P31" s="54">
        <f t="shared" si="5"/>
        <v>1</v>
      </c>
      <c r="Q31" s="54">
        <f t="shared" si="127"/>
        <v>0.93930060274554572</v>
      </c>
      <c r="R31" s="54">
        <f t="shared" si="12"/>
        <v>6.069939725445421E-2</v>
      </c>
      <c r="S31" s="54">
        <f t="shared" si="13"/>
        <v>0</v>
      </c>
      <c r="T31" s="208">
        <v>30.143999999999998</v>
      </c>
      <c r="U31" s="208">
        <v>0</v>
      </c>
      <c r="V31" s="208">
        <v>3180</v>
      </c>
      <c r="W31" s="52">
        <f>+T31*6+U31*6+V31</f>
        <v>3360.864</v>
      </c>
      <c r="X31" s="52">
        <f t="shared" si="92"/>
        <v>462.37400000000025</v>
      </c>
      <c r="Y31" s="52">
        <f t="shared" si="93"/>
        <v>560.14400000000001</v>
      </c>
      <c r="Z31" s="52">
        <f t="shared" si="94"/>
        <v>77.062333333333299</v>
      </c>
      <c r="AA31" s="205">
        <f t="shared" si="119"/>
        <v>0.15952237199369318</v>
      </c>
      <c r="AB31" s="44"/>
      <c r="AC31" s="45">
        <v>444</v>
      </c>
      <c r="AD31" s="45">
        <v>896</v>
      </c>
      <c r="AE31" s="45">
        <v>0</v>
      </c>
      <c r="AF31" s="45">
        <v>0</v>
      </c>
      <c r="AG31" s="55">
        <f>SUM(AC31:AF31)</f>
        <v>1340</v>
      </c>
      <c r="AH31" s="45">
        <v>-3.008</v>
      </c>
      <c r="AI31" s="45">
        <v>11.510999999999999</v>
      </c>
      <c r="AJ31" s="45">
        <v>0.187</v>
      </c>
      <c r="AK31" s="45">
        <v>0</v>
      </c>
      <c r="AL31" s="55">
        <f t="shared" si="56"/>
        <v>8.69</v>
      </c>
      <c r="AM31" s="45">
        <v>0</v>
      </c>
      <c r="AN31" s="45">
        <v>0</v>
      </c>
      <c r="AO31" s="45">
        <v>0</v>
      </c>
      <c r="AP31" s="45">
        <v>0</v>
      </c>
      <c r="AQ31" s="55">
        <f>SUM(AM31:AP31)</f>
        <v>0</v>
      </c>
      <c r="AR31" s="55">
        <f t="shared" si="9"/>
        <v>1392.14</v>
      </c>
      <c r="AS31" s="55">
        <f t="shared" si="10"/>
        <v>232.02333333333334</v>
      </c>
      <c r="AT31" s="46">
        <v>20.097000000000001</v>
      </c>
      <c r="AU31" s="46">
        <v>16.312000000000001</v>
      </c>
      <c r="AV31" s="46">
        <v>34.003</v>
      </c>
      <c r="AW31" s="46">
        <v>723.45100000000002</v>
      </c>
      <c r="AX31" s="50">
        <f t="shared" si="11"/>
        <v>793.86300000000006</v>
      </c>
      <c r="AY31" s="52">
        <f>SUM(AX29:AX31)</f>
        <v>3751.701</v>
      </c>
      <c r="AZ31" s="52">
        <f t="shared" si="97"/>
        <v>1005.143</v>
      </c>
      <c r="BA31" s="52">
        <f t="shared" si="98"/>
        <v>6030.8580000000002</v>
      </c>
      <c r="BB31" s="50">
        <f>AY31/AZ31</f>
        <v>3.7325047281829549</v>
      </c>
      <c r="BC31" s="50">
        <f>AY31/BA31</f>
        <v>0.62208412136382585</v>
      </c>
      <c r="BD31" s="44"/>
      <c r="BE31" s="47">
        <f>140.814+427.588</f>
        <v>568.40200000000004</v>
      </c>
      <c r="BF31" s="48">
        <v>0</v>
      </c>
      <c r="BG31" s="48">
        <v>69.444000000000003</v>
      </c>
      <c r="BH31" s="47">
        <f t="shared" si="120"/>
        <v>69.444000000000003</v>
      </c>
      <c r="BI31" s="48">
        <v>0</v>
      </c>
      <c r="BJ31" s="48">
        <v>7.55</v>
      </c>
      <c r="BK31" s="47">
        <f t="shared" si="121"/>
        <v>7.55</v>
      </c>
      <c r="BL31" s="48">
        <v>0</v>
      </c>
      <c r="BM31" s="48">
        <v>42.808999999999997</v>
      </c>
      <c r="BN31" s="47">
        <f t="shared" si="122"/>
        <v>42.808999999999997</v>
      </c>
      <c r="BO31" s="48">
        <v>0</v>
      </c>
      <c r="BP31" s="48">
        <v>85.296600000000012</v>
      </c>
      <c r="BQ31" s="47">
        <f t="shared" si="123"/>
        <v>85.296600000000012</v>
      </c>
      <c r="BR31" s="48">
        <v>1273.2550000000001</v>
      </c>
      <c r="BS31" s="48">
        <v>1273.2550000000001</v>
      </c>
      <c r="BT31" s="202">
        <f t="shared" si="101"/>
        <v>1</v>
      </c>
      <c r="BU31" s="49">
        <f t="shared" si="102"/>
        <v>773.50160000000005</v>
      </c>
      <c r="BV31" s="50">
        <f t="shared" si="103"/>
        <v>7.7019489657736129</v>
      </c>
      <c r="BW31" s="50">
        <f t="shared" si="104"/>
        <v>1.2836581609622686</v>
      </c>
      <c r="BX31" s="44"/>
      <c r="BY31" s="91">
        <f t="shared" si="105"/>
        <v>1567.3646000000001</v>
      </c>
      <c r="BZ31" s="56">
        <f t="shared" si="106"/>
        <v>156.73646000000002</v>
      </c>
      <c r="CA31" s="141">
        <f t="shared" si="107"/>
        <v>0.19743514938975618</v>
      </c>
      <c r="CB31" s="56">
        <f t="shared" si="108"/>
        <v>1.560664148588726</v>
      </c>
      <c r="CC31" s="56">
        <f t="shared" si="109"/>
        <v>0.26011069143145432</v>
      </c>
      <c r="CD31" s="56">
        <f t="shared" si="110"/>
        <v>7.9046925201136462</v>
      </c>
      <c r="CE31" s="56">
        <f t="shared" si="110"/>
        <v>1.3174487533522743</v>
      </c>
      <c r="CF31" s="56">
        <f t="shared" si="111"/>
        <v>11.434453693956568</v>
      </c>
      <c r="CG31" s="56">
        <f t="shared" si="112"/>
        <v>12.995117842545294</v>
      </c>
      <c r="CH31" s="56">
        <f t="shared" si="113"/>
        <v>19.339146214070215</v>
      </c>
      <c r="CI31" s="56">
        <f t="shared" si="114"/>
        <v>1.9057422823260945</v>
      </c>
      <c r="CJ31" s="56">
        <f t="shared" si="115"/>
        <v>2.1658529737575489</v>
      </c>
      <c r="CK31" s="56">
        <f t="shared" si="116"/>
        <v>3.2231910356783686</v>
      </c>
      <c r="CL31" s="51">
        <v>4</v>
      </c>
      <c r="CM31" s="56">
        <f t="shared" si="124"/>
        <v>1.1434453693956568</v>
      </c>
      <c r="CN31" s="56">
        <f t="shared" si="117"/>
        <v>114.83545615149288</v>
      </c>
      <c r="CO31" s="173">
        <f t="shared" si="118"/>
        <v>0.14465399716511901</v>
      </c>
      <c r="CP31" s="174">
        <v>0</v>
      </c>
      <c r="CQ31" s="328"/>
      <c r="CR31" s="169">
        <v>2025</v>
      </c>
      <c r="CS31" s="270">
        <f>+CT31*CU31</f>
        <v>360.81400000000002</v>
      </c>
      <c r="CT31" s="269">
        <v>161.80000000000001</v>
      </c>
      <c r="CU31" s="133">
        <v>2.23</v>
      </c>
      <c r="CV31" s="269">
        <f>+CW31*CX31</f>
        <v>224.70000000000002</v>
      </c>
      <c r="CW31" s="269">
        <v>128.4</v>
      </c>
      <c r="CX31" s="133">
        <v>1.75</v>
      </c>
      <c r="CY31" s="269">
        <f>+CZ31*DA31</f>
        <v>223.44</v>
      </c>
      <c r="CZ31" s="269">
        <v>133</v>
      </c>
      <c r="DA31" s="133">
        <v>1.68</v>
      </c>
      <c r="DB31" s="269">
        <f>+DE31-CS31-CV31-CY31</f>
        <v>216.08999999999997</v>
      </c>
      <c r="DC31" s="269">
        <f>+DF31-CT31-CW31-CZ31</f>
        <v>142.79999999999995</v>
      </c>
      <c r="DD31" s="133">
        <f>+DB31/DC31</f>
        <v>1.5132352941176475</v>
      </c>
      <c r="DE31" s="274">
        <v>1025.0440000000001</v>
      </c>
      <c r="DF31" s="274">
        <v>566</v>
      </c>
      <c r="DG31" s="273">
        <v>1.81</v>
      </c>
      <c r="DH31" s="272">
        <f>+DI31*DJ31</f>
        <v>62.574959999999997</v>
      </c>
      <c r="DI31" s="272">
        <v>1.4279999999999999</v>
      </c>
      <c r="DJ31" s="296">
        <v>43.82</v>
      </c>
      <c r="DK31" s="272">
        <v>81.233000000000004</v>
      </c>
      <c r="DL31" s="272">
        <v>1.448</v>
      </c>
      <c r="DM31" s="296">
        <v>56.1</v>
      </c>
      <c r="DN31" s="272">
        <v>59.014000000000003</v>
      </c>
      <c r="DO31" s="272">
        <v>1.35</v>
      </c>
      <c r="DP31" s="296">
        <v>43.71</v>
      </c>
      <c r="DQ31" s="272">
        <f t="shared" si="126"/>
        <v>45.391920000000006</v>
      </c>
      <c r="DR31" s="272">
        <f t="shared" si="126"/>
        <v>1.2030000000000007</v>
      </c>
      <c r="DS31" s="296">
        <f>+DQ31/DR31</f>
        <v>37.732269326683273</v>
      </c>
      <c r="DT31" s="277">
        <f>+DU31*DV31</f>
        <v>248.21388000000002</v>
      </c>
      <c r="DU31" s="277">
        <v>5.4290000000000003</v>
      </c>
      <c r="DV31" s="297">
        <v>45.72</v>
      </c>
      <c r="DW31" s="99"/>
      <c r="DX31" s="99"/>
      <c r="DY31" s="298"/>
      <c r="DZ31" s="99"/>
      <c r="EA31" s="99"/>
      <c r="EB31" s="298"/>
      <c r="EC31" s="99"/>
      <c r="ED31" s="99"/>
      <c r="EE31" s="298"/>
      <c r="EF31" s="99"/>
      <c r="EG31" s="99"/>
      <c r="EH31" s="298"/>
      <c r="EI31" s="282"/>
      <c r="EJ31" s="282"/>
      <c r="EK31" s="299"/>
      <c r="EL31" s="344">
        <v>48.66</v>
      </c>
      <c r="EM31" s="344">
        <v>2.62</v>
      </c>
      <c r="EN31" s="344">
        <v>4.97</v>
      </c>
      <c r="EO31" s="331">
        <v>2.9</v>
      </c>
      <c r="EP31" s="331">
        <v>2.75</v>
      </c>
      <c r="EQ31" s="331">
        <v>2.76</v>
      </c>
      <c r="ER31" s="331">
        <v>2.12</v>
      </c>
      <c r="ES31" s="331">
        <v>5.43</v>
      </c>
      <c r="ET31" s="331">
        <v>5.2</v>
      </c>
      <c r="EU31" s="331">
        <v>4.68</v>
      </c>
      <c r="EV31" s="331">
        <v>4.5999999999999996</v>
      </c>
      <c r="EW31" s="331">
        <v>48.49</v>
      </c>
      <c r="EX31" s="331">
        <v>57.85</v>
      </c>
      <c r="EY31" s="331">
        <v>46.64</v>
      </c>
      <c r="EZ31" s="331">
        <v>41.94</v>
      </c>
      <c r="FA31" s="82"/>
      <c r="FB31" s="82"/>
      <c r="FC31" s="82"/>
      <c r="FD31" s="82"/>
      <c r="FE31" s="82"/>
      <c r="FF31" s="82"/>
      <c r="FG31" s="82"/>
      <c r="FH31" s="82"/>
    </row>
    <row r="32" spans="1:164" ht="26.25" customHeight="1" x14ac:dyDescent="0.3">
      <c r="A32" s="228" t="s">
        <v>30</v>
      </c>
      <c r="B32" s="228" t="s">
        <v>31</v>
      </c>
      <c r="C32" s="229">
        <v>2016</v>
      </c>
      <c r="D32" s="216">
        <v>600</v>
      </c>
      <c r="E32" s="216">
        <v>4.4539999999999997</v>
      </c>
      <c r="F32" s="216">
        <v>0.627</v>
      </c>
      <c r="G32" s="216">
        <f t="shared" si="0"/>
        <v>105.08099999999999</v>
      </c>
      <c r="H32" s="216">
        <f t="shared" si="1"/>
        <v>630.48599999999999</v>
      </c>
      <c r="I32" s="216">
        <v>0</v>
      </c>
      <c r="J32" s="216">
        <v>0</v>
      </c>
      <c r="K32" s="216">
        <v>0</v>
      </c>
      <c r="L32" s="216">
        <f t="shared" si="2"/>
        <v>0</v>
      </c>
      <c r="M32" s="216">
        <f t="shared" si="3"/>
        <v>0</v>
      </c>
      <c r="N32" s="216">
        <f t="shared" si="95"/>
        <v>105.08099999999999</v>
      </c>
      <c r="O32" s="216">
        <f t="shared" si="95"/>
        <v>630.48599999999999</v>
      </c>
      <c r="P32" s="302">
        <f t="shared" si="5"/>
        <v>1</v>
      </c>
      <c r="Q32" s="302">
        <f t="shared" si="127"/>
        <v>0.951646824830369</v>
      </c>
      <c r="R32" s="302">
        <f t="shared" si="12"/>
        <v>4.2386349577944633E-2</v>
      </c>
      <c r="S32" s="302">
        <f t="shared" si="13"/>
        <v>5.9668255916864137E-3</v>
      </c>
      <c r="T32" s="209">
        <v>28.73</v>
      </c>
      <c r="U32" s="209">
        <v>0</v>
      </c>
      <c r="V32" s="209">
        <v>2781</v>
      </c>
      <c r="W32" s="216">
        <f>+T32*6+U32*6+V32</f>
        <v>2953.38</v>
      </c>
      <c r="X32" s="216">
        <f>W32-W31</f>
        <v>-407.48399999999992</v>
      </c>
      <c r="Y32" s="216">
        <f>+T32+U32+V32/6</f>
        <v>492.23</v>
      </c>
      <c r="Z32" s="216">
        <f>Y32-Y31</f>
        <v>-67.913999999999987</v>
      </c>
      <c r="AA32" s="206">
        <f>+Z32/Y31</f>
        <v>-0.12124382301693848</v>
      </c>
      <c r="AB32" s="230"/>
      <c r="AC32" s="231">
        <v>405</v>
      </c>
      <c r="AD32" s="231">
        <v>650</v>
      </c>
      <c r="AE32" s="231">
        <v>0</v>
      </c>
      <c r="AF32" s="231">
        <v>0</v>
      </c>
      <c r="AG32" s="303">
        <f>SUM(AC32:AF32)</f>
        <v>1055</v>
      </c>
      <c r="AH32" s="231">
        <v>-5.867</v>
      </c>
      <c r="AI32" s="231">
        <v>5.54</v>
      </c>
      <c r="AJ32" s="231">
        <v>0</v>
      </c>
      <c r="AK32" s="231">
        <v>0</v>
      </c>
      <c r="AL32" s="303">
        <f t="shared" si="56"/>
        <v>-0.32699999999999996</v>
      </c>
      <c r="AM32" s="231">
        <v>0</v>
      </c>
      <c r="AN32" s="231">
        <v>0</v>
      </c>
      <c r="AO32" s="231">
        <v>0</v>
      </c>
      <c r="AP32" s="231">
        <v>0</v>
      </c>
      <c r="AQ32" s="303">
        <f>SUM(AM32:AP32)</f>
        <v>0</v>
      </c>
      <c r="AR32" s="303">
        <f t="shared" si="9"/>
        <v>1053.038</v>
      </c>
      <c r="AS32" s="303">
        <f t="shared" si="10"/>
        <v>175.50633333333334</v>
      </c>
      <c r="AT32" s="232">
        <v>2.7029999999999998</v>
      </c>
      <c r="AU32" s="232">
        <v>0</v>
      </c>
      <c r="AV32" s="232">
        <v>27.64</v>
      </c>
      <c r="AW32" s="232">
        <v>359.50099999999998</v>
      </c>
      <c r="AX32" s="215">
        <f t="shared" si="11"/>
        <v>389.84399999999999</v>
      </c>
      <c r="AY32" s="216">
        <f>SUM(AX30:AX32)</f>
        <v>2955.4400000000005</v>
      </c>
      <c r="AZ32" s="216">
        <f>SUM(AS30:AS32)</f>
        <v>821.05200000000002</v>
      </c>
      <c r="BA32" s="216">
        <f>SUM(AR30:AR32)</f>
        <v>4926.3119999999999</v>
      </c>
      <c r="BB32" s="215">
        <f>AY32/AZ32</f>
        <v>3.5995771278798423</v>
      </c>
      <c r="BC32" s="215">
        <f>AY32/BA32</f>
        <v>0.59992952131330712</v>
      </c>
      <c r="BD32" s="230"/>
      <c r="BE32" s="212">
        <f>100.696+436.542</f>
        <v>537.23799999999994</v>
      </c>
      <c r="BF32" s="200">
        <v>0</v>
      </c>
      <c r="BG32" s="200">
        <v>87.242000000000004</v>
      </c>
      <c r="BH32" s="212">
        <f t="shared" si="120"/>
        <v>87.242000000000004</v>
      </c>
      <c r="BI32" s="200">
        <v>0</v>
      </c>
      <c r="BJ32" s="200">
        <v>0.68799999999999994</v>
      </c>
      <c r="BK32" s="212">
        <f t="shared" si="121"/>
        <v>0.68799999999999994</v>
      </c>
      <c r="BL32" s="200"/>
      <c r="BM32" s="200">
        <v>29.222999999999999</v>
      </c>
      <c r="BN32" s="212">
        <f t="shared" si="122"/>
        <v>29.222999999999999</v>
      </c>
      <c r="BO32" s="200"/>
      <c r="BP32" s="200">
        <v>55.5861011</v>
      </c>
      <c r="BQ32" s="212">
        <f t="shared" si="123"/>
        <v>55.5861011</v>
      </c>
      <c r="BR32" s="200">
        <f>1022.59+151.106</f>
        <v>1173.6959999999999</v>
      </c>
      <c r="BS32" s="200">
        <f>1022.59+151.106</f>
        <v>1173.6959999999999</v>
      </c>
      <c r="BT32" s="203">
        <f>+P32*BR32/BS32</f>
        <v>1</v>
      </c>
      <c r="BU32" s="220">
        <f>BQ32+BN32+BK32+BH32+BE32</f>
        <v>709.97710109999991</v>
      </c>
      <c r="BV32" s="215">
        <f>BU32/G32</f>
        <v>6.7564745396408483</v>
      </c>
      <c r="BW32" s="215">
        <f>BU32/H32</f>
        <v>1.1260790899401414</v>
      </c>
      <c r="BX32" s="230"/>
      <c r="BY32" s="304">
        <f>BU32+AX32</f>
        <v>1099.8211010999999</v>
      </c>
      <c r="BZ32" s="305">
        <f>(BY32*0.1)</f>
        <v>109.98211010999999</v>
      </c>
      <c r="CA32" s="306">
        <f>+BZ32/AX32</f>
        <v>0.28211825784159816</v>
      </c>
      <c r="CB32" s="305">
        <f>BZ32/G32</f>
        <v>1.0466412587432552</v>
      </c>
      <c r="CC32" s="305">
        <f>BZ32/H32</f>
        <v>0.17444020979054253</v>
      </c>
      <c r="CD32" s="305">
        <f>+$AX32/G32</f>
        <v>3.7099380477917037</v>
      </c>
      <c r="CE32" s="305">
        <f>+$AX32/H32</f>
        <v>0.61832300796528394</v>
      </c>
      <c r="CF32" s="305">
        <f>BB32+BV32</f>
        <v>10.35605166752069</v>
      </c>
      <c r="CG32" s="305">
        <f>CB32+CF32</f>
        <v>11.402692926263946</v>
      </c>
      <c r="CH32" s="305">
        <f>CF32+CD32</f>
        <v>14.065989715312394</v>
      </c>
      <c r="CI32" s="305">
        <f>+BC32+BW32</f>
        <v>1.7260086112534485</v>
      </c>
      <c r="CJ32" s="305">
        <f>+CI32+CC32</f>
        <v>1.9004488210439909</v>
      </c>
      <c r="CK32" s="305">
        <f>+CI32+CE32</f>
        <v>2.3443316192187327</v>
      </c>
      <c r="CL32" s="307">
        <v>4</v>
      </c>
      <c r="CM32" s="305">
        <f>+CF32/10</f>
        <v>1.0356051667520689</v>
      </c>
      <c r="CN32" s="305">
        <f>+CM32*G32</f>
        <v>108.82242652747415</v>
      </c>
      <c r="CO32" s="308">
        <f>+CN32/AX32</f>
        <v>0.27914352029907902</v>
      </c>
      <c r="CP32" s="309">
        <v>0</v>
      </c>
      <c r="CQ32" s="329"/>
      <c r="CR32" s="325">
        <v>1528</v>
      </c>
      <c r="CS32" s="312">
        <f>+CT32*CU32</f>
        <v>228.119</v>
      </c>
      <c r="CT32" s="313">
        <v>153.1</v>
      </c>
      <c r="CU32" s="314">
        <v>1.49</v>
      </c>
      <c r="CV32" s="313">
        <f>+CW32*CX32</f>
        <v>223.66500000000002</v>
      </c>
      <c r="CW32" s="313">
        <v>144.30000000000001</v>
      </c>
      <c r="CX32" s="314">
        <v>1.55</v>
      </c>
      <c r="CY32" s="313">
        <f>+CZ32*DA32</f>
        <v>259.92</v>
      </c>
      <c r="CZ32" s="313">
        <v>144.4</v>
      </c>
      <c r="DA32" s="314">
        <v>1.8</v>
      </c>
      <c r="DB32" s="313">
        <f>+DE32-CS32-CV32-CY32</f>
        <v>310.88600000000002</v>
      </c>
      <c r="DC32" s="313">
        <f>+DF32-CT32-CW32-CZ32</f>
        <v>158.59999999999994</v>
      </c>
      <c r="DD32" s="314">
        <f>+DB32/DC32</f>
        <v>1.9601891551071888</v>
      </c>
      <c r="DE32" s="315">
        <v>1022.59</v>
      </c>
      <c r="DF32" s="315">
        <v>600.4</v>
      </c>
      <c r="DG32" s="316">
        <v>1.7</v>
      </c>
      <c r="DH32" s="317">
        <f>+DI32*DJ32</f>
        <v>30.691500000000001</v>
      </c>
      <c r="DI32" s="317">
        <v>1.1100000000000001</v>
      </c>
      <c r="DJ32" s="318">
        <v>27.65</v>
      </c>
      <c r="DK32" s="317">
        <f>+DL32*DM32</f>
        <v>46.140889999999999</v>
      </c>
      <c r="DL32" s="317">
        <v>1.139</v>
      </c>
      <c r="DM32" s="318">
        <v>40.51</v>
      </c>
      <c r="DN32" s="317">
        <f>+DO32*DP32</f>
        <v>37.762329999999999</v>
      </c>
      <c r="DO32" s="317">
        <v>0.94099999999999995</v>
      </c>
      <c r="DP32" s="318">
        <v>40.130000000000003</v>
      </c>
      <c r="DQ32" s="317">
        <f>+DT32-DH32-DK32-DN32</f>
        <v>36.511279999999992</v>
      </c>
      <c r="DR32" s="317">
        <f>+DU32-DI32-DL32-DO32</f>
        <v>1.2639999999999993</v>
      </c>
      <c r="DS32" s="318">
        <f>+DQ32/DR32</f>
        <v>28.885506329113934</v>
      </c>
      <c r="DT32" s="319">
        <v>151.10599999999999</v>
      </c>
      <c r="DU32" s="319">
        <v>4.4539999999999997</v>
      </c>
      <c r="DV32" s="320">
        <f>+DT32/DU32</f>
        <v>33.925909295015714</v>
      </c>
      <c r="DW32" s="187"/>
      <c r="DX32" s="187"/>
      <c r="DY32" s="321"/>
      <c r="DZ32" s="187"/>
      <c r="EA32" s="187"/>
      <c r="EB32" s="321"/>
      <c r="EC32" s="187"/>
      <c r="ED32" s="187"/>
      <c r="EE32" s="321"/>
      <c r="EF32" s="187"/>
      <c r="EG32" s="187"/>
      <c r="EH32" s="321"/>
      <c r="EI32" s="322"/>
      <c r="EJ32" s="322"/>
      <c r="EK32" s="323"/>
      <c r="EL32" s="345">
        <v>43.2</v>
      </c>
      <c r="EM32" s="345">
        <v>2.52</v>
      </c>
      <c r="EN32" s="345">
        <v>5.04</v>
      </c>
      <c r="EO32" s="332">
        <v>1.99</v>
      </c>
      <c r="EP32" s="332">
        <v>2.15</v>
      </c>
      <c r="EQ32" s="332">
        <v>2.88</v>
      </c>
      <c r="ER32" s="332">
        <v>3.04</v>
      </c>
      <c r="ES32" s="332">
        <v>4.0199999999999996</v>
      </c>
      <c r="ET32" s="332">
        <v>5</v>
      </c>
      <c r="EU32" s="332">
        <v>5.04</v>
      </c>
      <c r="EV32" s="332">
        <v>6.05</v>
      </c>
      <c r="EW32" s="332">
        <v>33.35</v>
      </c>
      <c r="EX32" s="332">
        <v>45.46</v>
      </c>
      <c r="EY32" s="332">
        <v>44.85</v>
      </c>
      <c r="EZ32" s="332">
        <v>49.14</v>
      </c>
    </row>
    <row r="33" spans="1:164" ht="26.25" customHeight="1" x14ac:dyDescent="0.3">
      <c r="A33" s="24" t="s">
        <v>35</v>
      </c>
      <c r="B33" s="24" t="s">
        <v>36</v>
      </c>
      <c r="C33" s="1">
        <v>2007</v>
      </c>
      <c r="D33" s="25">
        <v>655</v>
      </c>
      <c r="E33" s="25">
        <v>9.9</v>
      </c>
      <c r="F33" s="25">
        <v>0</v>
      </c>
      <c r="G33" s="25">
        <f t="shared" ref="G33:G42" si="128">D33/6+E33+F33</f>
        <v>119.06666666666668</v>
      </c>
      <c r="H33" s="25">
        <f t="shared" ref="H33:H42" si="129">D33+E33*6+F33*6</f>
        <v>714.4</v>
      </c>
      <c r="I33" s="25">
        <v>0</v>
      </c>
      <c r="J33" s="25">
        <v>0</v>
      </c>
      <c r="K33" s="25">
        <v>0</v>
      </c>
      <c r="L33" s="25">
        <f t="shared" si="2"/>
        <v>0</v>
      </c>
      <c r="M33" s="25">
        <f t="shared" si="3"/>
        <v>0</v>
      </c>
      <c r="N33" s="25">
        <f t="shared" si="95"/>
        <v>119.06666666666668</v>
      </c>
      <c r="O33" s="25">
        <f t="shared" si="95"/>
        <v>714.4</v>
      </c>
      <c r="P33" s="26">
        <f t="shared" si="5"/>
        <v>1</v>
      </c>
      <c r="Q33" s="26">
        <f t="shared" si="127"/>
        <v>0.91685330347144456</v>
      </c>
      <c r="R33" s="26">
        <f t="shared" si="12"/>
        <v>8.3146696528555428E-2</v>
      </c>
      <c r="S33" s="26">
        <f t="shared" si="13"/>
        <v>0</v>
      </c>
      <c r="T33" s="207">
        <v>34.72</v>
      </c>
      <c r="U33" s="207">
        <v>0</v>
      </c>
      <c r="V33" s="207">
        <v>3728.6770000000001</v>
      </c>
      <c r="W33" s="25">
        <f t="shared" ref="W33:W40" si="130">+T33*6+U33*6+V33</f>
        <v>3936.9970000000003</v>
      </c>
      <c r="X33" s="25"/>
      <c r="Y33" s="25">
        <f>+T33+U33+V33/6</f>
        <v>656.16616666666675</v>
      </c>
      <c r="Z33" s="25"/>
      <c r="AA33" s="25"/>
      <c r="AB33" s="27"/>
      <c r="AC33" s="28">
        <v>1299</v>
      </c>
      <c r="AD33" s="28">
        <v>1053</v>
      </c>
      <c r="AE33" s="28">
        <v>329</v>
      </c>
      <c r="AF33" s="28">
        <v>0</v>
      </c>
      <c r="AG33" s="29">
        <f>SUM(AC33:AF33)</f>
        <v>2681</v>
      </c>
      <c r="AH33" s="28">
        <v>7.7</v>
      </c>
      <c r="AI33" s="28">
        <v>11.7</v>
      </c>
      <c r="AJ33" s="28">
        <v>8.1</v>
      </c>
      <c r="AK33" s="28">
        <v>0</v>
      </c>
      <c r="AL33" s="29">
        <f t="shared" si="56"/>
        <v>27.5</v>
      </c>
      <c r="AM33" s="28">
        <v>0</v>
      </c>
      <c r="AN33" s="28">
        <v>0</v>
      </c>
      <c r="AO33" s="28">
        <v>0</v>
      </c>
      <c r="AP33" s="28">
        <v>0</v>
      </c>
      <c r="AQ33" s="29">
        <f>SUM(AM33:AP33)</f>
        <v>0</v>
      </c>
      <c r="AR33" s="29">
        <f t="shared" si="9"/>
        <v>2846</v>
      </c>
      <c r="AS33" s="29">
        <f t="shared" si="10"/>
        <v>474.33333333333331</v>
      </c>
      <c r="AT33" s="30">
        <f>2507+131</f>
        <v>2638</v>
      </c>
      <c r="AU33" s="30">
        <v>671</v>
      </c>
      <c r="AV33" s="30">
        <f>653+343</f>
        <v>996</v>
      </c>
      <c r="AW33" s="30">
        <v>4402</v>
      </c>
      <c r="AX33" s="31">
        <f t="shared" si="11"/>
        <v>8707</v>
      </c>
      <c r="AY33" s="25"/>
      <c r="AZ33" s="25"/>
      <c r="BA33" s="25"/>
      <c r="BB33" s="31"/>
      <c r="BC33" s="31"/>
      <c r="BD33" s="27" t="s">
        <v>37</v>
      </c>
      <c r="BE33" s="32"/>
      <c r="BF33" s="33"/>
      <c r="BG33" s="34"/>
      <c r="BH33" s="32"/>
      <c r="BI33" s="33"/>
      <c r="BJ33" s="34"/>
      <c r="BK33" s="32"/>
      <c r="BL33" s="33"/>
      <c r="BM33" s="34"/>
      <c r="BN33" s="32"/>
      <c r="BO33" s="33"/>
      <c r="BP33" s="34"/>
      <c r="BQ33" s="32"/>
      <c r="BR33" s="34">
        <v>0</v>
      </c>
      <c r="BS33" s="34">
        <v>0</v>
      </c>
      <c r="BT33" s="34"/>
      <c r="BU33" s="35"/>
      <c r="BV33" s="31"/>
      <c r="BW33" s="31"/>
      <c r="BX33" s="27"/>
      <c r="BY33" s="88"/>
      <c r="BZ33" s="36"/>
      <c r="CA33" s="36"/>
      <c r="CB33" s="36"/>
      <c r="CC33" s="36"/>
      <c r="CD33" s="36"/>
      <c r="CE33" s="36"/>
      <c r="CF33" s="36"/>
      <c r="CG33" s="36"/>
      <c r="CH33" s="36"/>
      <c r="CI33" s="36"/>
      <c r="CJ33" s="36"/>
      <c r="CK33" s="36"/>
      <c r="CL33" s="37">
        <v>4</v>
      </c>
      <c r="CM33" s="37"/>
      <c r="CN33" s="37"/>
      <c r="CO33" s="37"/>
      <c r="CP33" s="327"/>
      <c r="CQ33" s="327"/>
      <c r="CS33" s="293"/>
      <c r="CT33" s="227"/>
      <c r="CU33" s="227"/>
      <c r="CV33" s="227"/>
      <c r="CW33" s="227"/>
      <c r="CX33" s="227"/>
      <c r="CY33" s="227"/>
      <c r="CZ33" s="227"/>
      <c r="DA33" s="227"/>
      <c r="DB33" s="227"/>
      <c r="DC33" s="227"/>
      <c r="DD33" s="227"/>
      <c r="DE33" s="275"/>
      <c r="DF33" s="275"/>
      <c r="DG33" s="275"/>
      <c r="DH33" s="226"/>
      <c r="DI33" s="226"/>
      <c r="DJ33" s="226"/>
      <c r="DK33" s="226"/>
      <c r="DL33" s="226"/>
      <c r="DM33" s="226"/>
      <c r="DN33" s="226"/>
      <c r="DO33" s="226"/>
      <c r="DP33" s="226"/>
      <c r="DQ33" s="226"/>
      <c r="DR33" s="226"/>
      <c r="DS33" s="226"/>
      <c r="DT33" s="278"/>
      <c r="DU33" s="278"/>
      <c r="DV33" s="278"/>
      <c r="DW33" s="280"/>
      <c r="DX33" s="280"/>
      <c r="DY33" s="280"/>
      <c r="DZ33" s="280"/>
      <c r="EA33" s="280"/>
      <c r="EB33" s="280"/>
      <c r="EC33" s="280"/>
      <c r="ED33" s="280"/>
      <c r="EE33" s="280"/>
      <c r="EF33" s="280"/>
      <c r="EG33" s="280"/>
      <c r="EH33" s="280"/>
      <c r="EI33" s="283"/>
      <c r="EJ33" s="283"/>
      <c r="EK33" s="294"/>
      <c r="EL33" s="343">
        <v>72.34</v>
      </c>
      <c r="EM33" s="343">
        <v>6.97</v>
      </c>
      <c r="EN33" s="343">
        <v>12.91</v>
      </c>
      <c r="EO33" s="116"/>
      <c r="EP33" s="116"/>
      <c r="EQ33" s="116"/>
      <c r="ER33" s="116"/>
      <c r="ES33" s="116"/>
      <c r="ET33" s="116"/>
      <c r="EU33" s="116"/>
      <c r="EV33" s="116"/>
      <c r="EW33" s="116"/>
      <c r="EX33" s="116"/>
      <c r="EY33" s="116"/>
      <c r="EZ33" s="116"/>
    </row>
    <row r="34" spans="1:164" ht="26.25" customHeight="1" x14ac:dyDescent="0.3">
      <c r="A34" s="24" t="s">
        <v>35</v>
      </c>
      <c r="B34" s="24" t="s">
        <v>36</v>
      </c>
      <c r="C34" s="1">
        <v>2008</v>
      </c>
      <c r="D34" s="25">
        <v>775</v>
      </c>
      <c r="E34" s="25">
        <v>11.2</v>
      </c>
      <c r="F34" s="25">
        <v>0</v>
      </c>
      <c r="G34" s="25">
        <f t="shared" si="128"/>
        <v>140.36666666666665</v>
      </c>
      <c r="H34" s="25">
        <f t="shared" si="129"/>
        <v>842.2</v>
      </c>
      <c r="I34" s="25">
        <v>0</v>
      </c>
      <c r="J34" s="25">
        <v>0</v>
      </c>
      <c r="K34" s="25">
        <v>0</v>
      </c>
      <c r="L34" s="25">
        <f t="shared" si="2"/>
        <v>0</v>
      </c>
      <c r="M34" s="25">
        <f t="shared" si="3"/>
        <v>0</v>
      </c>
      <c r="N34" s="25">
        <f t="shared" si="95"/>
        <v>140.36666666666665</v>
      </c>
      <c r="O34" s="25">
        <f t="shared" si="95"/>
        <v>842.2</v>
      </c>
      <c r="P34" s="26">
        <f t="shared" si="5"/>
        <v>1</v>
      </c>
      <c r="Q34" s="26">
        <f t="shared" si="127"/>
        <v>0.92020897649014477</v>
      </c>
      <c r="R34" s="26">
        <f t="shared" si="12"/>
        <v>7.9791023509855147E-2</v>
      </c>
      <c r="S34" s="26">
        <f t="shared" si="13"/>
        <v>0</v>
      </c>
      <c r="T34" s="207">
        <v>35.719000000000001</v>
      </c>
      <c r="U34" s="207">
        <v>0</v>
      </c>
      <c r="V34" s="207">
        <v>3745.9319999999998</v>
      </c>
      <c r="W34" s="25">
        <f t="shared" si="130"/>
        <v>3960.2459999999996</v>
      </c>
      <c r="X34" s="25">
        <f t="shared" ref="X34:X41" si="131">W34-W33</f>
        <v>23.248999999999342</v>
      </c>
      <c r="Y34" s="25">
        <f t="shared" ref="Y34:Y41" si="132">+T34+U34+V34/6</f>
        <v>660.04100000000005</v>
      </c>
      <c r="Z34" s="25">
        <f t="shared" ref="Z34:Z41" si="133">Y34-Y33</f>
        <v>3.8748333333332994</v>
      </c>
      <c r="AA34" s="204">
        <f>+Z34/Y33</f>
        <v>5.9052623103344488E-3</v>
      </c>
      <c r="AB34" s="27"/>
      <c r="AC34" s="28">
        <v>957</v>
      </c>
      <c r="AD34" s="28">
        <v>1526</v>
      </c>
      <c r="AE34" s="28">
        <v>156</v>
      </c>
      <c r="AF34" s="28">
        <v>0</v>
      </c>
      <c r="AG34" s="29">
        <f t="shared" si="17"/>
        <v>2639</v>
      </c>
      <c r="AH34" s="28">
        <v>-1.2</v>
      </c>
      <c r="AI34" s="28">
        <v>11.5</v>
      </c>
      <c r="AJ34" s="28">
        <v>2.5</v>
      </c>
      <c r="AK34" s="28">
        <v>0</v>
      </c>
      <c r="AL34" s="29">
        <f t="shared" si="56"/>
        <v>12.8</v>
      </c>
      <c r="AM34" s="28">
        <v>0</v>
      </c>
      <c r="AN34" s="28">
        <v>0</v>
      </c>
      <c r="AO34" s="28">
        <v>0</v>
      </c>
      <c r="AP34" s="28">
        <v>0</v>
      </c>
      <c r="AQ34" s="29">
        <f t="shared" ref="AQ34:AQ39" si="134">SUM(AM34:AP34)</f>
        <v>0</v>
      </c>
      <c r="AR34" s="29">
        <f t="shared" si="9"/>
        <v>2715.8</v>
      </c>
      <c r="AS34" s="29">
        <f t="shared" si="10"/>
        <v>452.63333333333333</v>
      </c>
      <c r="AT34" s="30">
        <f>8250+13</f>
        <v>8263</v>
      </c>
      <c r="AU34" s="30">
        <v>355</v>
      </c>
      <c r="AV34" s="30">
        <f>612+314</f>
        <v>926</v>
      </c>
      <c r="AW34" s="30">
        <v>5185</v>
      </c>
      <c r="AX34" s="31">
        <f t="shared" si="11"/>
        <v>14729</v>
      </c>
      <c r="AY34" s="25"/>
      <c r="AZ34" s="25"/>
      <c r="BA34" s="25"/>
      <c r="BC34" s="31"/>
      <c r="BD34" s="27" t="s">
        <v>37</v>
      </c>
      <c r="BE34" s="32"/>
      <c r="BF34" s="33"/>
      <c r="BG34" s="34"/>
      <c r="BH34" s="32"/>
      <c r="BI34" s="33"/>
      <c r="BJ34" s="34"/>
      <c r="BK34" s="32"/>
      <c r="BL34" s="33"/>
      <c r="BM34" s="34"/>
      <c r="BN34" s="32"/>
      <c r="BO34" s="33"/>
      <c r="BP34" s="34"/>
      <c r="BQ34" s="32"/>
      <c r="BR34" s="57">
        <v>0</v>
      </c>
      <c r="BS34" s="57">
        <v>0</v>
      </c>
      <c r="BT34" s="57"/>
      <c r="BU34" s="35"/>
      <c r="BV34" s="31"/>
      <c r="BW34" s="31"/>
      <c r="BX34" s="27"/>
      <c r="BY34" s="88"/>
      <c r="BZ34" s="38"/>
      <c r="CA34" s="36"/>
      <c r="CB34" s="38"/>
      <c r="CC34" s="36"/>
      <c r="CD34" s="36"/>
      <c r="CE34" s="36"/>
      <c r="CF34" s="89"/>
      <c r="CG34" s="36"/>
      <c r="CH34" s="36"/>
      <c r="CI34" s="36"/>
      <c r="CJ34" s="36"/>
      <c r="CK34" s="36"/>
      <c r="CL34" s="37">
        <v>4</v>
      </c>
      <c r="CM34" s="37"/>
      <c r="CN34" s="38"/>
      <c r="CO34" s="38"/>
      <c r="CP34" s="327"/>
      <c r="CQ34" s="327"/>
      <c r="CS34" s="271"/>
      <c r="CT34" s="133"/>
      <c r="CU34" s="133"/>
      <c r="CV34" s="133"/>
      <c r="CW34" s="133"/>
      <c r="CX34" s="133"/>
      <c r="CY34" s="133"/>
      <c r="CZ34" s="133"/>
      <c r="DA34" s="133"/>
      <c r="DB34" s="133"/>
      <c r="DC34" s="133"/>
      <c r="DD34" s="133"/>
      <c r="DE34" s="273"/>
      <c r="DF34" s="273"/>
      <c r="DG34" s="273"/>
      <c r="DH34" s="132"/>
      <c r="DI34" s="132"/>
      <c r="DJ34" s="132"/>
      <c r="DK34" s="132"/>
      <c r="DL34" s="132"/>
      <c r="DM34" s="132"/>
      <c r="DN34" s="132"/>
      <c r="DO34" s="132"/>
      <c r="DP34" s="132"/>
      <c r="DQ34" s="132"/>
      <c r="DR34" s="132"/>
      <c r="DS34" s="132"/>
      <c r="DT34" s="276"/>
      <c r="DU34" s="276"/>
      <c r="DV34" s="276"/>
      <c r="DW34" s="279"/>
      <c r="DX34" s="279"/>
      <c r="DY34" s="279"/>
      <c r="DZ34" s="279"/>
      <c r="EA34" s="279"/>
      <c r="EB34" s="279"/>
      <c r="EC34" s="279"/>
      <c r="ED34" s="279"/>
      <c r="EE34" s="279"/>
      <c r="EF34" s="279"/>
      <c r="EG34" s="279"/>
      <c r="EH34" s="279"/>
      <c r="EI34" s="281"/>
      <c r="EJ34" s="281"/>
      <c r="EK34" s="295"/>
      <c r="EL34" s="343">
        <v>99.67</v>
      </c>
      <c r="EM34" s="343">
        <v>8.86</v>
      </c>
      <c r="EN34" s="343">
        <v>15.2</v>
      </c>
      <c r="EO34" s="116"/>
      <c r="EP34" s="116"/>
      <c r="EQ34" s="116"/>
      <c r="ER34" s="116"/>
      <c r="ES34" s="116"/>
      <c r="ET34" s="116"/>
      <c r="EU34" s="116"/>
      <c r="EV34" s="116"/>
      <c r="EW34" s="116"/>
      <c r="EX34" s="116"/>
      <c r="EY34" s="116"/>
      <c r="EZ34" s="116"/>
    </row>
    <row r="35" spans="1:164" ht="26.25" customHeight="1" x14ac:dyDescent="0.3">
      <c r="A35" s="24" t="s">
        <v>35</v>
      </c>
      <c r="B35" s="24" t="s">
        <v>36</v>
      </c>
      <c r="C35" s="1">
        <v>2009</v>
      </c>
      <c r="D35" s="25">
        <v>835</v>
      </c>
      <c r="E35" s="25">
        <v>11.8</v>
      </c>
      <c r="F35" s="25">
        <v>0</v>
      </c>
      <c r="G35" s="25">
        <f t="shared" si="128"/>
        <v>150.96666666666667</v>
      </c>
      <c r="H35" s="25">
        <f t="shared" si="129"/>
        <v>905.8</v>
      </c>
      <c r="I35" s="25">
        <v>0</v>
      </c>
      <c r="J35" s="25">
        <v>0</v>
      </c>
      <c r="K35" s="25">
        <v>0</v>
      </c>
      <c r="L35" s="25">
        <f t="shared" si="2"/>
        <v>0</v>
      </c>
      <c r="M35" s="25">
        <f t="shared" si="3"/>
        <v>0</v>
      </c>
      <c r="N35" s="25">
        <f t="shared" si="95"/>
        <v>150.96666666666667</v>
      </c>
      <c r="O35" s="25">
        <f t="shared" si="95"/>
        <v>905.8</v>
      </c>
      <c r="P35" s="26">
        <f t="shared" si="5"/>
        <v>1</v>
      </c>
      <c r="Q35" s="26">
        <f t="shared" si="127"/>
        <v>0.92183705012143968</v>
      </c>
      <c r="R35" s="26">
        <f t="shared" si="12"/>
        <v>7.8162949878560387E-2</v>
      </c>
      <c r="S35" s="26">
        <f t="shared" si="13"/>
        <v>0</v>
      </c>
      <c r="T35" s="207">
        <v>45.2</v>
      </c>
      <c r="U35" s="207">
        <v>0</v>
      </c>
      <c r="V35" s="207">
        <v>5651</v>
      </c>
      <c r="W35" s="25">
        <f t="shared" si="130"/>
        <v>5922.2</v>
      </c>
      <c r="X35" s="25">
        <f t="shared" si="131"/>
        <v>1961.9540000000002</v>
      </c>
      <c r="Y35" s="25">
        <f t="shared" si="132"/>
        <v>987.03333333333342</v>
      </c>
      <c r="Z35" s="25">
        <f t="shared" si="133"/>
        <v>326.99233333333336</v>
      </c>
      <c r="AA35" s="204">
        <f>+Z35/Y34</f>
        <v>0.49541215368944252</v>
      </c>
      <c r="AB35" s="27"/>
      <c r="AC35" s="28">
        <v>-1335</v>
      </c>
      <c r="AD35" s="28">
        <v>4530</v>
      </c>
      <c r="AE35" s="28">
        <v>32</v>
      </c>
      <c r="AF35" s="28">
        <v>0</v>
      </c>
      <c r="AG35" s="29">
        <f t="shared" si="17"/>
        <v>3227</v>
      </c>
      <c r="AH35" s="28">
        <v>-10.3</v>
      </c>
      <c r="AI35" s="28">
        <v>27.1</v>
      </c>
      <c r="AJ35" s="28">
        <v>0.2</v>
      </c>
      <c r="AK35" s="28">
        <v>0</v>
      </c>
      <c r="AL35" s="29">
        <f t="shared" si="56"/>
        <v>17</v>
      </c>
      <c r="AM35" s="28">
        <v>0</v>
      </c>
      <c r="AN35" s="28">
        <v>0</v>
      </c>
      <c r="AO35" s="28">
        <v>0</v>
      </c>
      <c r="AP35" s="28">
        <v>0</v>
      </c>
      <c r="AQ35" s="29">
        <f t="shared" si="134"/>
        <v>0</v>
      </c>
      <c r="AR35" s="29">
        <f t="shared" si="9"/>
        <v>3329</v>
      </c>
      <c r="AS35" s="29">
        <f t="shared" si="10"/>
        <v>554.83333333333337</v>
      </c>
      <c r="AT35" s="30">
        <v>2793</v>
      </c>
      <c r="AU35" s="30">
        <v>61</v>
      </c>
      <c r="AV35" s="30">
        <f>651+162</f>
        <v>813</v>
      </c>
      <c r="AW35" s="30">
        <v>2729</v>
      </c>
      <c r="AX35" s="31">
        <f t="shared" si="11"/>
        <v>6396</v>
      </c>
      <c r="AY35" s="25">
        <f t="shared" ref="AY35:AY40" si="135">SUM(AX33:AX35)</f>
        <v>29832</v>
      </c>
      <c r="AZ35" s="25">
        <f t="shared" ref="AZ35:AZ41" si="136">SUM(AS33:AS35)</f>
        <v>1481.8000000000002</v>
      </c>
      <c r="BA35" s="25">
        <f t="shared" ref="BA35:BA41" si="137">SUM(AR33:AR35)</f>
        <v>8890.7999999999993</v>
      </c>
      <c r="BB35" s="31">
        <f t="shared" ref="BB35:BB40" si="138">AY35/AZ35</f>
        <v>20.13227156161425</v>
      </c>
      <c r="BC35" s="31">
        <f t="shared" ref="BC35:BC40" si="139">AY35/BA35</f>
        <v>3.3553785936023757</v>
      </c>
      <c r="BD35" s="27" t="s">
        <v>37</v>
      </c>
      <c r="BE35" s="198">
        <f>876+182</f>
        <v>1058</v>
      </c>
      <c r="BF35" s="34">
        <v>349</v>
      </c>
      <c r="BG35" s="34">
        <v>0</v>
      </c>
      <c r="BH35" s="32">
        <f>IF(BG35=0,BF35*$BT35,BG35)</f>
        <v>228.78486107504543</v>
      </c>
      <c r="BI35" s="34">
        <v>7</v>
      </c>
      <c r="BJ35" s="34">
        <v>0</v>
      </c>
      <c r="BK35" s="32">
        <f>IF(BJ35=0,BI35*$BT35,BJ35)</f>
        <v>4.5888081017917424</v>
      </c>
      <c r="BL35" s="34">
        <v>0</v>
      </c>
      <c r="BM35" s="34">
        <v>107</v>
      </c>
      <c r="BN35" s="32">
        <f>IF(BM35=0,BL35*$BT35,BM35)</f>
        <v>107</v>
      </c>
      <c r="BO35" s="34">
        <f>765+60</f>
        <v>825</v>
      </c>
      <c r="BP35" s="34">
        <v>0</v>
      </c>
      <c r="BQ35" s="32">
        <f>IF(BP35=0,BO35*$BT35,BP35)</f>
        <v>540.82381199688393</v>
      </c>
      <c r="BR35" s="34">
        <v>5049</v>
      </c>
      <c r="BS35" s="34">
        <v>7702</v>
      </c>
      <c r="BT35" s="201">
        <f t="shared" ref="BT35:BT41" si="140">+P35*BR35/BS35</f>
        <v>0.65554401454167743</v>
      </c>
      <c r="BU35" s="35">
        <f t="shared" ref="BU35:BU41" si="141">BQ35+BN35+BK35+BH35+BE35</f>
        <v>1939.1974811737211</v>
      </c>
      <c r="BV35" s="31">
        <f t="shared" ref="BV35:BV41" si="142">BU35/G35</f>
        <v>12.845203010645095</v>
      </c>
      <c r="BW35" s="31">
        <f t="shared" ref="BW35:BW41" si="143">BU35/H35</f>
        <v>2.1408671684408493</v>
      </c>
      <c r="BX35" s="27" t="s">
        <v>38</v>
      </c>
      <c r="BY35" s="90">
        <f t="shared" ref="BY35:BY41" si="144">BU35+AX35</f>
        <v>8335.1974811737218</v>
      </c>
      <c r="BZ35" s="38">
        <f t="shared" ref="BZ35:BZ40" si="145">(BY35*0.1)</f>
        <v>833.51974811737227</v>
      </c>
      <c r="CA35" s="140">
        <f t="shared" ref="CA35:CA41" si="146">+BZ35/AX35</f>
        <v>0.13031890996206572</v>
      </c>
      <c r="CB35" s="38">
        <f t="shared" ref="CB35:CB41" si="147">BZ35/G35</f>
        <v>5.5212171436346145</v>
      </c>
      <c r="CC35" s="38">
        <f t="shared" ref="CC35:CC41" si="148">BZ35/H35</f>
        <v>0.92020285727243578</v>
      </c>
      <c r="CD35" s="38">
        <f t="shared" ref="CD35:CE41" si="149">+$AX35/G35</f>
        <v>42.366968425701039</v>
      </c>
      <c r="CE35" s="38">
        <f t="shared" si="149"/>
        <v>7.0611614042835065</v>
      </c>
      <c r="CF35" s="38">
        <f t="shared" ref="CF35:CF41" si="150">BB35+BV35</f>
        <v>32.977474572259347</v>
      </c>
      <c r="CG35" s="38">
        <f t="shared" ref="CG35:CG40" si="151">CB35+CF35</f>
        <v>38.498691715893962</v>
      </c>
      <c r="CH35" s="38">
        <f t="shared" ref="CH35:CH40" si="152">CF35+CD35</f>
        <v>75.344442997960385</v>
      </c>
      <c r="CI35" s="38">
        <f t="shared" ref="CI35:CI41" si="153">+BC35+BW35</f>
        <v>5.496245762043225</v>
      </c>
      <c r="CJ35" s="38">
        <f t="shared" ref="CJ35:CJ40" si="154">+CI35+CC35</f>
        <v>6.4164486193156609</v>
      </c>
      <c r="CK35" s="38">
        <f t="shared" ref="CK35:CK40" si="155">+CI35+CE35</f>
        <v>12.557407166326731</v>
      </c>
      <c r="CL35" s="37">
        <v>4</v>
      </c>
      <c r="CM35" s="38">
        <f t="shared" ref="CM35:CM41" si="156">+CF35/10</f>
        <v>3.2977474572259347</v>
      </c>
      <c r="CN35" s="38">
        <f t="shared" ref="CN35:CN41" si="157">+CM35*G35</f>
        <v>497.84994112587526</v>
      </c>
      <c r="CO35" s="145">
        <f t="shared" ref="CO35:CO41" si="158">+CN35/AX35</f>
        <v>7.7837701864583372E-2</v>
      </c>
      <c r="CP35" s="62"/>
      <c r="CQ35" s="327">
        <v>10005</v>
      </c>
      <c r="CS35" s="271"/>
      <c r="CT35" s="133"/>
      <c r="CU35" s="133"/>
      <c r="CV35" s="133"/>
      <c r="CW35" s="133"/>
      <c r="CX35" s="133"/>
      <c r="CY35" s="133"/>
      <c r="CZ35" s="133"/>
      <c r="DA35" s="133"/>
      <c r="DB35" s="133"/>
      <c r="DC35" s="133"/>
      <c r="DD35" s="133"/>
      <c r="DE35" s="273"/>
      <c r="DF35" s="273"/>
      <c r="DG35" s="273"/>
      <c r="DH35" s="132"/>
      <c r="DI35" s="132"/>
      <c r="DJ35" s="132"/>
      <c r="DK35" s="132"/>
      <c r="DL35" s="132"/>
      <c r="DM35" s="132"/>
      <c r="DN35" s="132"/>
      <c r="DO35" s="132"/>
      <c r="DP35" s="132"/>
      <c r="DQ35" s="132"/>
      <c r="DR35" s="132"/>
      <c r="DS35" s="132"/>
      <c r="DT35" s="276"/>
      <c r="DU35" s="276"/>
      <c r="DV35" s="276"/>
      <c r="DW35" s="279"/>
      <c r="DX35" s="279"/>
      <c r="DY35" s="279"/>
      <c r="DZ35" s="279"/>
      <c r="EA35" s="279"/>
      <c r="EB35" s="279"/>
      <c r="EC35" s="279"/>
      <c r="ED35" s="279"/>
      <c r="EE35" s="279"/>
      <c r="EF35" s="279"/>
      <c r="EG35" s="279"/>
      <c r="EH35" s="279"/>
      <c r="EI35" s="281"/>
      <c r="EJ35" s="281"/>
      <c r="EK35" s="295"/>
      <c r="EL35" s="343">
        <v>61.95</v>
      </c>
      <c r="EM35" s="343">
        <v>3.94</v>
      </c>
      <c r="EN35" s="343">
        <v>8.99</v>
      </c>
      <c r="EO35" s="116"/>
      <c r="EP35" s="116"/>
      <c r="EQ35" s="116"/>
      <c r="ER35" s="116"/>
      <c r="ES35" s="116"/>
      <c r="ET35" s="116"/>
      <c r="EU35" s="116"/>
      <c r="EV35" s="116"/>
      <c r="EW35" s="116"/>
      <c r="EX35" s="116"/>
      <c r="EY35" s="116"/>
      <c r="EZ35" s="116"/>
    </row>
    <row r="36" spans="1:164" ht="26.25" customHeight="1" x14ac:dyDescent="0.3">
      <c r="A36" s="24" t="s">
        <v>35</v>
      </c>
      <c r="B36" s="24" t="s">
        <v>36</v>
      </c>
      <c r="C36" s="1">
        <v>2010</v>
      </c>
      <c r="D36" s="25">
        <v>925</v>
      </c>
      <c r="E36" s="25">
        <v>10.9</v>
      </c>
      <c r="F36" s="25">
        <v>7.5</v>
      </c>
      <c r="G36" s="25">
        <f t="shared" si="128"/>
        <v>172.56666666666666</v>
      </c>
      <c r="H36" s="25">
        <f t="shared" si="129"/>
        <v>1035.4000000000001</v>
      </c>
      <c r="I36" s="25">
        <v>0</v>
      </c>
      <c r="J36" s="25">
        <v>0</v>
      </c>
      <c r="K36" s="25">
        <v>0</v>
      </c>
      <c r="L36" s="25">
        <f t="shared" si="2"/>
        <v>0</v>
      </c>
      <c r="M36" s="25">
        <f t="shared" si="3"/>
        <v>0</v>
      </c>
      <c r="N36" s="25">
        <f t="shared" si="95"/>
        <v>172.56666666666666</v>
      </c>
      <c r="O36" s="25">
        <f t="shared" si="95"/>
        <v>1035.4000000000001</v>
      </c>
      <c r="P36" s="26">
        <f t="shared" si="5"/>
        <v>1</v>
      </c>
      <c r="Q36" s="26">
        <f t="shared" si="127"/>
        <v>0.89337454124010041</v>
      </c>
      <c r="R36" s="26">
        <f t="shared" si="12"/>
        <v>6.3163994591462241E-2</v>
      </c>
      <c r="S36" s="26">
        <f t="shared" si="13"/>
        <v>4.3461464168437318E-2</v>
      </c>
      <c r="T36" s="207">
        <v>65.900000000000006</v>
      </c>
      <c r="U36" s="207">
        <v>59.3</v>
      </c>
      <c r="V36" s="207">
        <v>7209</v>
      </c>
      <c r="W36" s="25">
        <f t="shared" si="130"/>
        <v>7960.2</v>
      </c>
      <c r="X36" s="25">
        <f t="shared" si="131"/>
        <v>2038</v>
      </c>
      <c r="Y36" s="25">
        <f t="shared" si="132"/>
        <v>1326.7</v>
      </c>
      <c r="Z36" s="25">
        <f t="shared" si="133"/>
        <v>339.66666666666663</v>
      </c>
      <c r="AA36" s="204">
        <f t="shared" ref="AA36:AA41" si="159">+Z36/Y35</f>
        <v>0.3441288710276586</v>
      </c>
      <c r="AB36" s="27"/>
      <c r="AC36" s="28">
        <v>-445</v>
      </c>
      <c r="AD36" s="28">
        <v>4678</v>
      </c>
      <c r="AE36" s="28">
        <v>63</v>
      </c>
      <c r="AF36" s="28">
        <v>0</v>
      </c>
      <c r="AG36" s="29">
        <f t="shared" si="17"/>
        <v>4296</v>
      </c>
      <c r="AH36" s="28">
        <v>-3.6</v>
      </c>
      <c r="AI36" s="28">
        <v>47.6</v>
      </c>
      <c r="AJ36" s="28">
        <v>4.2</v>
      </c>
      <c r="AK36" s="28">
        <v>0</v>
      </c>
      <c r="AL36" s="29">
        <f t="shared" si="56"/>
        <v>48.2</v>
      </c>
      <c r="AM36" s="28">
        <v>108.3</v>
      </c>
      <c r="AN36" s="28">
        <v>22.3</v>
      </c>
      <c r="AO36" s="28">
        <v>0.2</v>
      </c>
      <c r="AP36" s="28">
        <v>0</v>
      </c>
      <c r="AQ36" s="29">
        <f t="shared" si="134"/>
        <v>130.79999999999998</v>
      </c>
      <c r="AR36" s="29">
        <f t="shared" si="9"/>
        <v>5370</v>
      </c>
      <c r="AS36" s="29">
        <f t="shared" si="10"/>
        <v>895</v>
      </c>
      <c r="AT36" s="30">
        <v>6953</v>
      </c>
      <c r="AU36" s="30">
        <v>243</v>
      </c>
      <c r="AV36" s="30">
        <v>872</v>
      </c>
      <c r="AW36" s="30">
        <v>4741</v>
      </c>
      <c r="AX36" s="31">
        <f t="shared" si="11"/>
        <v>12809</v>
      </c>
      <c r="AY36" s="25">
        <f t="shared" si="135"/>
        <v>33934</v>
      </c>
      <c r="AZ36" s="25">
        <f t="shared" si="136"/>
        <v>1902.4666666666667</v>
      </c>
      <c r="BA36" s="25">
        <f t="shared" si="137"/>
        <v>11414.8</v>
      </c>
      <c r="BB36" s="31">
        <f t="shared" si="138"/>
        <v>17.836843396292533</v>
      </c>
      <c r="BC36" s="31">
        <f t="shared" si="139"/>
        <v>2.9728072327154225</v>
      </c>
      <c r="BD36" s="27" t="s">
        <v>37</v>
      </c>
      <c r="BE36" s="198">
        <f>893+208</f>
        <v>1101</v>
      </c>
      <c r="BF36" s="34">
        <v>453</v>
      </c>
      <c r="BG36" s="34">
        <v>0</v>
      </c>
      <c r="BH36" s="32">
        <f t="shared" ref="BH36:BH42" si="160">IF(BG36=0,BF36*$BT36,BG36)</f>
        <v>273.12524023062139</v>
      </c>
      <c r="BI36" s="34">
        <v>-291</v>
      </c>
      <c r="BJ36" s="34">
        <v>0</v>
      </c>
      <c r="BK36" s="32">
        <f t="shared" ref="BK36:BK42" si="161">IF(BJ36=0,BI36*$BT36,BJ36)</f>
        <v>-175.45131326073027</v>
      </c>
      <c r="BL36" s="34">
        <v>0</v>
      </c>
      <c r="BM36" s="34">
        <v>157</v>
      </c>
      <c r="BN36" s="32">
        <f t="shared" ref="BN36:BN42" si="162">IF(BM36=0,BL36*$BT36,BM36)</f>
        <v>157</v>
      </c>
      <c r="BO36" s="34">
        <f>718+61</f>
        <v>779</v>
      </c>
      <c r="BP36" s="34">
        <v>0</v>
      </c>
      <c r="BQ36" s="32">
        <f t="shared" ref="BQ36:BQ42" si="163">IF(BP36=0,BO36*$BT36,BP36)</f>
        <v>469.67894512064913</v>
      </c>
      <c r="BR36" s="34">
        <v>5647</v>
      </c>
      <c r="BS36" s="34">
        <v>9366</v>
      </c>
      <c r="BT36" s="201">
        <f t="shared" si="140"/>
        <v>0.60292547512278449</v>
      </c>
      <c r="BU36" s="35">
        <f t="shared" si="141"/>
        <v>1825.3528720905401</v>
      </c>
      <c r="BV36" s="31">
        <f t="shared" si="142"/>
        <v>10.577667792682288</v>
      </c>
      <c r="BW36" s="31">
        <f t="shared" si="143"/>
        <v>1.7629446321137145</v>
      </c>
      <c r="BX36" s="27" t="s">
        <v>38</v>
      </c>
      <c r="BY36" s="90">
        <f t="shared" si="144"/>
        <v>14634.35287209054</v>
      </c>
      <c r="BZ36" s="38">
        <f t="shared" si="145"/>
        <v>1463.435287209054</v>
      </c>
      <c r="CA36" s="140">
        <f t="shared" si="146"/>
        <v>0.11425054939566351</v>
      </c>
      <c r="CB36" s="38">
        <f t="shared" si="147"/>
        <v>8.480405373048411</v>
      </c>
      <c r="CC36" s="38">
        <f t="shared" si="148"/>
        <v>1.4134008955080681</v>
      </c>
      <c r="CD36" s="38">
        <f t="shared" si="149"/>
        <v>74.226385937801822</v>
      </c>
      <c r="CE36" s="38">
        <f t="shared" si="149"/>
        <v>12.371064322966967</v>
      </c>
      <c r="CF36" s="38">
        <f t="shared" si="150"/>
        <v>28.414511188974821</v>
      </c>
      <c r="CG36" s="38">
        <f t="shared" si="151"/>
        <v>36.894916562023234</v>
      </c>
      <c r="CH36" s="38">
        <f t="shared" si="152"/>
        <v>102.64089712677665</v>
      </c>
      <c r="CI36" s="38">
        <f t="shared" si="153"/>
        <v>4.7357518648291368</v>
      </c>
      <c r="CJ36" s="38">
        <f t="shared" si="154"/>
        <v>6.1491527603372047</v>
      </c>
      <c r="CK36" s="38">
        <f t="shared" si="155"/>
        <v>17.106816187796106</v>
      </c>
      <c r="CL36" s="37">
        <v>4</v>
      </c>
      <c r="CM36" s="38">
        <f t="shared" si="156"/>
        <v>2.8414511188974823</v>
      </c>
      <c r="CN36" s="38">
        <f t="shared" si="157"/>
        <v>490.33974808440882</v>
      </c>
      <c r="CO36" s="145">
        <f t="shared" si="158"/>
        <v>3.8280876577750707E-2</v>
      </c>
      <c r="CP36" s="63"/>
      <c r="CQ36" s="327">
        <v>14469</v>
      </c>
      <c r="CS36" s="271"/>
      <c r="CT36" s="133"/>
      <c r="CU36" s="133"/>
      <c r="CV36" s="133"/>
      <c r="CW36" s="133"/>
      <c r="CX36" s="133"/>
      <c r="CY36" s="133"/>
      <c r="CZ36" s="133"/>
      <c r="DA36" s="133"/>
      <c r="DB36" s="133"/>
      <c r="DC36" s="133"/>
      <c r="DD36" s="133"/>
      <c r="DE36" s="273"/>
      <c r="DF36" s="273"/>
      <c r="DG36" s="273"/>
      <c r="DH36" s="132"/>
      <c r="DI36" s="132"/>
      <c r="DJ36" s="132"/>
      <c r="DK36" s="132"/>
      <c r="DL36" s="132"/>
      <c r="DM36" s="132"/>
      <c r="DN36" s="132"/>
      <c r="DO36" s="132"/>
      <c r="DP36" s="132"/>
      <c r="DQ36" s="132"/>
      <c r="DR36" s="132"/>
      <c r="DS36" s="132"/>
      <c r="DT36" s="276"/>
      <c r="DU36" s="276"/>
      <c r="DV36" s="276"/>
      <c r="DW36" s="279"/>
      <c r="DX36" s="279"/>
      <c r="DY36" s="279"/>
      <c r="DZ36" s="279"/>
      <c r="EA36" s="279"/>
      <c r="EB36" s="279"/>
      <c r="EC36" s="279"/>
      <c r="ED36" s="279"/>
      <c r="EE36" s="279"/>
      <c r="EF36" s="279"/>
      <c r="EG36" s="279"/>
      <c r="EH36" s="279"/>
      <c r="EI36" s="281"/>
      <c r="EJ36" s="281"/>
      <c r="EK36" s="295"/>
      <c r="EL36" s="343">
        <v>79.48</v>
      </c>
      <c r="EM36" s="343">
        <v>4.37</v>
      </c>
      <c r="EN36" s="343">
        <v>11.83</v>
      </c>
      <c r="EO36" s="116"/>
      <c r="EP36" s="116"/>
      <c r="EQ36" s="116"/>
      <c r="ER36" s="116"/>
      <c r="ES36" s="116"/>
      <c r="ET36" s="116"/>
      <c r="EU36" s="116"/>
      <c r="EV36" s="116"/>
      <c r="EW36" s="116"/>
      <c r="EX36" s="116"/>
      <c r="EY36" s="116"/>
      <c r="EZ36" s="116"/>
    </row>
    <row r="37" spans="1:164" ht="26.25" customHeight="1" x14ac:dyDescent="0.3">
      <c r="A37" s="24" t="s">
        <v>35</v>
      </c>
      <c r="B37" s="24" t="s">
        <v>36</v>
      </c>
      <c r="C37" s="1">
        <v>2011</v>
      </c>
      <c r="D37" s="25">
        <v>1004</v>
      </c>
      <c r="E37" s="25">
        <v>17</v>
      </c>
      <c r="F37" s="25">
        <v>14.7</v>
      </c>
      <c r="G37" s="25">
        <f t="shared" si="128"/>
        <v>199.03333333333333</v>
      </c>
      <c r="H37" s="25">
        <f t="shared" si="129"/>
        <v>1194.2</v>
      </c>
      <c r="I37" s="25">
        <v>0</v>
      </c>
      <c r="J37" s="25">
        <v>0</v>
      </c>
      <c r="K37" s="25">
        <v>0</v>
      </c>
      <c r="L37" s="25">
        <f t="shared" si="2"/>
        <v>0</v>
      </c>
      <c r="M37" s="25">
        <f t="shared" si="3"/>
        <v>0</v>
      </c>
      <c r="N37" s="25">
        <f t="shared" si="95"/>
        <v>199.03333333333333</v>
      </c>
      <c r="O37" s="25">
        <f t="shared" si="95"/>
        <v>1194.2</v>
      </c>
      <c r="P37" s="26">
        <f t="shared" si="5"/>
        <v>1</v>
      </c>
      <c r="Q37" s="26">
        <f t="shared" si="127"/>
        <v>0.84073019594707754</v>
      </c>
      <c r="R37" s="26">
        <f t="shared" si="12"/>
        <v>8.5412828671914257E-2</v>
      </c>
      <c r="S37" s="26">
        <f t="shared" si="13"/>
        <v>7.3856975381008202E-2</v>
      </c>
      <c r="T37" s="207">
        <v>167.6</v>
      </c>
      <c r="U37" s="207">
        <v>123.3</v>
      </c>
      <c r="V37" s="207">
        <v>6937</v>
      </c>
      <c r="W37" s="25">
        <f t="shared" si="130"/>
        <v>8682.4</v>
      </c>
      <c r="X37" s="25">
        <f t="shared" si="131"/>
        <v>722.19999999999982</v>
      </c>
      <c r="Y37" s="25">
        <f t="shared" si="132"/>
        <v>1447.0666666666666</v>
      </c>
      <c r="Z37" s="25">
        <f t="shared" si="133"/>
        <v>120.36666666666656</v>
      </c>
      <c r="AA37" s="204">
        <f t="shared" si="159"/>
        <v>9.0726363659204459E-2</v>
      </c>
      <c r="AB37" s="27"/>
      <c r="AC37" s="28">
        <v>-361</v>
      </c>
      <c r="AD37" s="28">
        <v>4156</v>
      </c>
      <c r="AE37" s="28">
        <v>23</v>
      </c>
      <c r="AF37" s="28">
        <v>0</v>
      </c>
      <c r="AG37" s="29">
        <f t="shared" si="17"/>
        <v>3818</v>
      </c>
      <c r="AH37" s="28">
        <v>-7.8</v>
      </c>
      <c r="AI37" s="28">
        <v>168.4</v>
      </c>
      <c r="AJ37" s="28">
        <v>0.5</v>
      </c>
      <c r="AK37" s="28">
        <v>0</v>
      </c>
      <c r="AL37" s="29">
        <f t="shared" si="56"/>
        <v>161.1</v>
      </c>
      <c r="AM37" s="28">
        <v>60.6</v>
      </c>
      <c r="AN37" s="28">
        <v>85.2</v>
      </c>
      <c r="AO37" s="28">
        <v>0.7</v>
      </c>
      <c r="AP37" s="28">
        <v>0</v>
      </c>
      <c r="AQ37" s="29">
        <f t="shared" si="134"/>
        <v>146.5</v>
      </c>
      <c r="AR37" s="29">
        <f t="shared" si="9"/>
        <v>5663.6</v>
      </c>
      <c r="AS37" s="29">
        <f t="shared" si="10"/>
        <v>943.93333333333339</v>
      </c>
      <c r="AT37" s="30">
        <v>4736</v>
      </c>
      <c r="AU37" s="30">
        <v>48</v>
      </c>
      <c r="AV37" s="30">
        <v>2261</v>
      </c>
      <c r="AW37" s="30">
        <f>5497-727-3</f>
        <v>4767</v>
      </c>
      <c r="AX37" s="31">
        <f t="shared" si="11"/>
        <v>11812</v>
      </c>
      <c r="AY37" s="25">
        <f t="shared" si="135"/>
        <v>31017</v>
      </c>
      <c r="AZ37" s="25">
        <f t="shared" si="136"/>
        <v>2393.7666666666669</v>
      </c>
      <c r="BA37" s="25">
        <f t="shared" si="137"/>
        <v>14362.6</v>
      </c>
      <c r="BB37" s="31">
        <f t="shared" si="138"/>
        <v>12.95740325567794</v>
      </c>
      <c r="BC37" s="31">
        <f t="shared" si="139"/>
        <v>2.1595672092796567</v>
      </c>
      <c r="BD37" s="27" t="s">
        <v>37</v>
      </c>
      <c r="BE37" s="198">
        <f>1073+402</f>
        <v>1475</v>
      </c>
      <c r="BF37" s="34">
        <v>548</v>
      </c>
      <c r="BG37" s="34">
        <v>0</v>
      </c>
      <c r="BH37" s="32">
        <f t="shared" si="160"/>
        <v>283.72599914052427</v>
      </c>
      <c r="BI37" s="34">
        <v>-25</v>
      </c>
      <c r="BJ37" s="34">
        <v>0</v>
      </c>
      <c r="BK37" s="32">
        <f t="shared" si="161"/>
        <v>-12.943704340352385</v>
      </c>
      <c r="BL37" s="34">
        <v>0</v>
      </c>
      <c r="BM37" s="34">
        <v>192</v>
      </c>
      <c r="BN37" s="32">
        <f t="shared" si="162"/>
        <v>192</v>
      </c>
      <c r="BO37" s="34">
        <f>653+70</f>
        <v>723</v>
      </c>
      <c r="BP37" s="34">
        <v>0</v>
      </c>
      <c r="BQ37" s="32">
        <f t="shared" si="163"/>
        <v>374.331929522991</v>
      </c>
      <c r="BR37" s="34">
        <v>6024</v>
      </c>
      <c r="BS37" s="34">
        <v>11635</v>
      </c>
      <c r="BT37" s="201">
        <f t="shared" si="140"/>
        <v>0.51774817361409542</v>
      </c>
      <c r="BU37" s="35">
        <f t="shared" si="141"/>
        <v>2312.1142243231629</v>
      </c>
      <c r="BV37" s="31">
        <f t="shared" si="142"/>
        <v>11.616718594824132</v>
      </c>
      <c r="BW37" s="31">
        <f t="shared" si="143"/>
        <v>1.9361197658040219</v>
      </c>
      <c r="BX37" s="27" t="s">
        <v>39</v>
      </c>
      <c r="BY37" s="90">
        <f t="shared" si="144"/>
        <v>14124.114224323162</v>
      </c>
      <c r="BZ37" s="38">
        <f t="shared" si="145"/>
        <v>1412.4114224323164</v>
      </c>
      <c r="CA37" s="140">
        <f t="shared" si="146"/>
        <v>0.11957428229193331</v>
      </c>
      <c r="CB37" s="38">
        <f t="shared" si="147"/>
        <v>7.0963561669685973</v>
      </c>
      <c r="CC37" s="38">
        <f t="shared" si="148"/>
        <v>1.1827260278280993</v>
      </c>
      <c r="CD37" s="38">
        <f t="shared" si="149"/>
        <v>59.34684307486183</v>
      </c>
      <c r="CE37" s="38">
        <f t="shared" si="149"/>
        <v>9.8911405124769711</v>
      </c>
      <c r="CF37" s="38">
        <f t="shared" si="150"/>
        <v>24.574121850502074</v>
      </c>
      <c r="CG37" s="38">
        <f t="shared" si="151"/>
        <v>31.670478017470671</v>
      </c>
      <c r="CH37" s="38">
        <f t="shared" si="152"/>
        <v>83.920964925363904</v>
      </c>
      <c r="CI37" s="38">
        <f t="shared" si="153"/>
        <v>4.0956869750836784</v>
      </c>
      <c r="CJ37" s="38">
        <f t="shared" si="154"/>
        <v>5.278413002911778</v>
      </c>
      <c r="CK37" s="38">
        <f t="shared" si="155"/>
        <v>13.98682748756065</v>
      </c>
      <c r="CL37" s="37">
        <v>4</v>
      </c>
      <c r="CM37" s="38">
        <f t="shared" si="156"/>
        <v>2.4574121850502073</v>
      </c>
      <c r="CN37" s="38">
        <f t="shared" si="157"/>
        <v>489.10693856449291</v>
      </c>
      <c r="CO37" s="145">
        <f t="shared" si="158"/>
        <v>4.1407631100956056E-2</v>
      </c>
      <c r="CP37" s="63"/>
      <c r="CQ37" s="327">
        <v>16685</v>
      </c>
      <c r="CS37" s="271"/>
      <c r="CT37" s="133"/>
      <c r="CU37" s="133"/>
      <c r="CV37" s="133"/>
      <c r="CW37" s="133"/>
      <c r="CX37" s="133"/>
      <c r="CY37" s="133"/>
      <c r="CZ37" s="133"/>
      <c r="DA37" s="133"/>
      <c r="DB37" s="133"/>
      <c r="DC37" s="133"/>
      <c r="DD37" s="133"/>
      <c r="DE37" s="273"/>
      <c r="DF37" s="273"/>
      <c r="DG37" s="273"/>
      <c r="DH37" s="132"/>
      <c r="DI37" s="132"/>
      <c r="DJ37" s="132"/>
      <c r="DK37" s="132"/>
      <c r="DL37" s="132"/>
      <c r="DM37" s="132"/>
      <c r="DN37" s="132"/>
      <c r="DO37" s="132"/>
      <c r="DP37" s="132"/>
      <c r="DQ37" s="132"/>
      <c r="DR37" s="132"/>
      <c r="DS37" s="132"/>
      <c r="DT37" s="276"/>
      <c r="DU37" s="276"/>
      <c r="DV37" s="276"/>
      <c r="DW37" s="279"/>
      <c r="DX37" s="279"/>
      <c r="DY37" s="279"/>
      <c r="DZ37" s="279"/>
      <c r="EA37" s="279"/>
      <c r="EB37" s="279"/>
      <c r="EC37" s="279"/>
      <c r="ED37" s="279"/>
      <c r="EE37" s="279"/>
      <c r="EF37" s="279"/>
      <c r="EG37" s="279"/>
      <c r="EH37" s="279"/>
      <c r="EI37" s="281"/>
      <c r="EJ37" s="281"/>
      <c r="EK37" s="295"/>
      <c r="EL37" s="343">
        <v>94.88</v>
      </c>
      <c r="EM37" s="343">
        <v>4</v>
      </c>
      <c r="EN37" s="343">
        <v>15.12</v>
      </c>
      <c r="EO37" s="116"/>
      <c r="EP37" s="116"/>
      <c r="EQ37" s="116"/>
      <c r="ER37" s="116"/>
      <c r="ES37" s="116"/>
      <c r="ET37" s="116"/>
      <c r="EU37" s="116"/>
      <c r="EV37" s="116"/>
      <c r="EW37" s="116"/>
      <c r="EX37" s="116"/>
      <c r="EY37" s="116"/>
      <c r="EZ37" s="116"/>
    </row>
    <row r="38" spans="1:164" ht="26.25" customHeight="1" x14ac:dyDescent="0.3">
      <c r="A38" s="39" t="s">
        <v>35</v>
      </c>
      <c r="B38" s="39" t="s">
        <v>36</v>
      </c>
      <c r="C38" s="22">
        <v>2012</v>
      </c>
      <c r="D38" s="25">
        <v>1129</v>
      </c>
      <c r="E38" s="25">
        <v>31.3</v>
      </c>
      <c r="F38" s="25">
        <v>17.600000000000001</v>
      </c>
      <c r="G38" s="25">
        <f t="shared" si="128"/>
        <v>237.06666666666666</v>
      </c>
      <c r="H38" s="25">
        <f t="shared" si="129"/>
        <v>1422.3999999999999</v>
      </c>
      <c r="I38" s="25">
        <v>0</v>
      </c>
      <c r="J38" s="25">
        <v>0</v>
      </c>
      <c r="K38" s="25">
        <v>0</v>
      </c>
      <c r="L38" s="25">
        <f t="shared" si="2"/>
        <v>0</v>
      </c>
      <c r="M38" s="25">
        <f t="shared" si="3"/>
        <v>0</v>
      </c>
      <c r="N38" s="25">
        <f t="shared" si="95"/>
        <v>237.06666666666666</v>
      </c>
      <c r="O38" s="25">
        <f t="shared" si="95"/>
        <v>1422.3999999999999</v>
      </c>
      <c r="P38" s="26">
        <f t="shared" si="5"/>
        <v>1</v>
      </c>
      <c r="Q38" s="26">
        <f t="shared" si="127"/>
        <v>0.79372890888638925</v>
      </c>
      <c r="R38" s="26">
        <f t="shared" si="12"/>
        <v>0.13203037120359956</v>
      </c>
      <c r="S38" s="26">
        <f t="shared" si="13"/>
        <v>7.4240719910011257E-2</v>
      </c>
      <c r="T38" s="207">
        <v>332.6</v>
      </c>
      <c r="U38" s="207">
        <v>165.2</v>
      </c>
      <c r="V38" s="207">
        <v>3759</v>
      </c>
      <c r="W38" s="25">
        <f t="shared" si="130"/>
        <v>6745.8</v>
      </c>
      <c r="X38" s="25">
        <f t="shared" si="131"/>
        <v>-1936.5999999999995</v>
      </c>
      <c r="Y38" s="25">
        <f t="shared" si="132"/>
        <v>1124.3</v>
      </c>
      <c r="Z38" s="25">
        <f t="shared" si="133"/>
        <v>-322.76666666666665</v>
      </c>
      <c r="AA38" s="204">
        <f t="shared" si="159"/>
        <v>-0.22304892656408365</v>
      </c>
      <c r="AB38" s="27"/>
      <c r="AC38" s="28">
        <v>-6080</v>
      </c>
      <c r="AD38" s="28">
        <v>3317</v>
      </c>
      <c r="AE38" s="28">
        <v>14</v>
      </c>
      <c r="AF38" s="28">
        <v>0</v>
      </c>
      <c r="AG38" s="29">
        <f t="shared" si="17"/>
        <v>-2749</v>
      </c>
      <c r="AH38" s="28">
        <v>-67.5</v>
      </c>
      <c r="AI38" s="28">
        <v>374</v>
      </c>
      <c r="AJ38" s="28">
        <v>4.2</v>
      </c>
      <c r="AK38" s="28">
        <v>0</v>
      </c>
      <c r="AL38" s="29">
        <f t="shared" si="56"/>
        <v>310.7</v>
      </c>
      <c r="AM38" s="28">
        <v>-47.3</v>
      </c>
      <c r="AN38" s="28">
        <v>139.4</v>
      </c>
      <c r="AO38" s="28">
        <v>0.6</v>
      </c>
      <c r="AP38" s="28">
        <v>0</v>
      </c>
      <c r="AQ38" s="29">
        <f t="shared" si="134"/>
        <v>92.7</v>
      </c>
      <c r="AR38" s="29">
        <f t="shared" si="9"/>
        <v>-328.60000000000014</v>
      </c>
      <c r="AS38" s="29">
        <f t="shared" si="10"/>
        <v>-54.766666666666694</v>
      </c>
      <c r="AT38" s="30">
        <v>2981</v>
      </c>
      <c r="AU38" s="30">
        <v>332</v>
      </c>
      <c r="AV38" s="30">
        <v>2353</v>
      </c>
      <c r="AW38" s="30">
        <f>6733-976-32</f>
        <v>5725</v>
      </c>
      <c r="AX38" s="31">
        <f t="shared" ref="AX38:AX93" si="164">SUM(AT38:AW38)</f>
        <v>11391</v>
      </c>
      <c r="AY38" s="25">
        <f t="shared" si="135"/>
        <v>36012</v>
      </c>
      <c r="AZ38" s="25">
        <f t="shared" si="136"/>
        <v>1784.1666666666667</v>
      </c>
      <c r="BA38" s="25">
        <f t="shared" si="137"/>
        <v>10705</v>
      </c>
      <c r="BB38" s="31">
        <f t="shared" si="138"/>
        <v>20.18421298458664</v>
      </c>
      <c r="BC38" s="31">
        <f t="shared" si="139"/>
        <v>3.3640354974311069</v>
      </c>
      <c r="BD38" s="27" t="s">
        <v>37</v>
      </c>
      <c r="BE38" s="198">
        <f>1304+465</f>
        <v>1769</v>
      </c>
      <c r="BF38" s="34">
        <v>535</v>
      </c>
      <c r="BG38" s="34">
        <v>0</v>
      </c>
      <c r="BH38" s="32">
        <f t="shared" si="160"/>
        <v>272.71273140630075</v>
      </c>
      <c r="BI38" s="34">
        <v>44</v>
      </c>
      <c r="BJ38" s="34">
        <v>0</v>
      </c>
      <c r="BK38" s="32">
        <f t="shared" si="161"/>
        <v>22.428710620331277</v>
      </c>
      <c r="BL38" s="34">
        <v>0</v>
      </c>
      <c r="BM38" s="34">
        <v>188</v>
      </c>
      <c r="BN38" s="32">
        <f t="shared" si="162"/>
        <v>188</v>
      </c>
      <c r="BO38" s="34">
        <f>732+70</f>
        <v>802</v>
      </c>
      <c r="BP38" s="34">
        <v>0</v>
      </c>
      <c r="BQ38" s="32">
        <f t="shared" si="163"/>
        <v>408.81422539785643</v>
      </c>
      <c r="BR38" s="34">
        <v>6278</v>
      </c>
      <c r="BS38" s="34">
        <v>12316</v>
      </c>
      <c r="BT38" s="201">
        <f t="shared" si="140"/>
        <v>0.50974342318934718</v>
      </c>
      <c r="BU38" s="35">
        <f t="shared" si="141"/>
        <v>2660.9556674244886</v>
      </c>
      <c r="BV38" s="31">
        <f t="shared" si="142"/>
        <v>11.224503658989688</v>
      </c>
      <c r="BW38" s="31">
        <f t="shared" si="143"/>
        <v>1.8707506098316149</v>
      </c>
      <c r="BX38" s="27"/>
      <c r="BY38" s="90">
        <f t="shared" si="144"/>
        <v>14051.955667424489</v>
      </c>
      <c r="BZ38" s="38">
        <f t="shared" si="145"/>
        <v>1405.195566742449</v>
      </c>
      <c r="CA38" s="140">
        <f t="shared" si="146"/>
        <v>0.12336015861139926</v>
      </c>
      <c r="CB38" s="38">
        <f t="shared" si="147"/>
        <v>5.9274278687111179</v>
      </c>
      <c r="CC38" s="38">
        <f t="shared" si="148"/>
        <v>0.98790464478518647</v>
      </c>
      <c r="CD38" s="38">
        <f t="shared" si="149"/>
        <v>48.049775028121488</v>
      </c>
      <c r="CE38" s="38">
        <f t="shared" si="149"/>
        <v>8.0082958380202474</v>
      </c>
      <c r="CF38" s="38">
        <f t="shared" si="150"/>
        <v>31.408716643576327</v>
      </c>
      <c r="CG38" s="38">
        <f t="shared" si="151"/>
        <v>37.336144512287447</v>
      </c>
      <c r="CH38" s="38">
        <f t="shared" si="152"/>
        <v>79.458491671697814</v>
      </c>
      <c r="CI38" s="38">
        <f t="shared" si="153"/>
        <v>5.234786107262722</v>
      </c>
      <c r="CJ38" s="38">
        <f t="shared" si="154"/>
        <v>6.2226907520479084</v>
      </c>
      <c r="CK38" s="38">
        <f t="shared" si="155"/>
        <v>13.24308194528297</v>
      </c>
      <c r="CL38" s="37">
        <v>4</v>
      </c>
      <c r="CM38" s="38">
        <f t="shared" si="156"/>
        <v>3.1408716643576327</v>
      </c>
      <c r="CN38" s="38">
        <f t="shared" si="157"/>
        <v>744.59597589704947</v>
      </c>
      <c r="CO38" s="145">
        <f t="shared" si="158"/>
        <v>6.5367042041703932E-2</v>
      </c>
      <c r="CP38" s="63"/>
      <c r="CQ38" s="327">
        <v>14755</v>
      </c>
      <c r="CS38" s="270">
        <v>489</v>
      </c>
      <c r="CT38" s="269">
        <f>+CS38/CU38</f>
        <v>208.08510638297872</v>
      </c>
      <c r="CU38" s="133">
        <v>2.35</v>
      </c>
      <c r="CV38" s="269">
        <v>354</v>
      </c>
      <c r="CW38" s="269">
        <f>+CV38/CX38</f>
        <v>188.29787234042556</v>
      </c>
      <c r="CX38" s="133">
        <v>1.88</v>
      </c>
      <c r="CY38" s="269">
        <v>505</v>
      </c>
      <c r="CZ38" s="269">
        <f>+CY38/DA38</f>
        <v>256.34517766497464</v>
      </c>
      <c r="DA38" s="133">
        <v>1.97</v>
      </c>
      <c r="DB38" s="269">
        <f t="shared" ref="DB38:DC42" si="165">+DE38-CS38-CV38-CY38</f>
        <v>653</v>
      </c>
      <c r="DC38" s="269">
        <f t="shared" si="165"/>
        <v>313.93851027828788</v>
      </c>
      <c r="DD38" s="133">
        <f>+DB38/DC38</f>
        <v>2.0800251597714285</v>
      </c>
      <c r="DE38" s="274">
        <v>2001</v>
      </c>
      <c r="DF38" s="274">
        <f>+DE38/DG38</f>
        <v>966.66666666666674</v>
      </c>
      <c r="DG38" s="273">
        <v>2.0699999999999998</v>
      </c>
      <c r="DH38" s="272">
        <f>+DI38*DJ38</f>
        <v>555.78</v>
      </c>
      <c r="DI38" s="272">
        <v>6</v>
      </c>
      <c r="DJ38" s="296">
        <v>92.63</v>
      </c>
      <c r="DK38" s="272">
        <f>+DL38*DM38</f>
        <v>668.53399999999999</v>
      </c>
      <c r="DL38" s="272">
        <v>7.3</v>
      </c>
      <c r="DM38" s="296">
        <v>91.58</v>
      </c>
      <c r="DN38" s="272">
        <f>+DO38*DP38</f>
        <v>817.11</v>
      </c>
      <c r="DO38" s="272">
        <v>9</v>
      </c>
      <c r="DP38" s="296">
        <v>90.79</v>
      </c>
      <c r="DQ38" s="272">
        <f t="shared" ref="DQ38:DR41" si="166">+DT38-DN38-DK38-DH38</f>
        <v>802.51599999999985</v>
      </c>
      <c r="DR38" s="272">
        <f t="shared" si="166"/>
        <v>8.6999999999999993</v>
      </c>
      <c r="DS38" s="296">
        <f>+DQ38/DR38</f>
        <v>92.243218390804586</v>
      </c>
      <c r="DT38" s="277">
        <f>+DU38*DV38</f>
        <v>2843.94</v>
      </c>
      <c r="DU38" s="277">
        <v>31</v>
      </c>
      <c r="DV38" s="297">
        <v>91.74</v>
      </c>
      <c r="DW38" s="99">
        <f>+DX38*DY38</f>
        <v>144.47999999999999</v>
      </c>
      <c r="DX38" s="99">
        <v>4.3</v>
      </c>
      <c r="DY38" s="298">
        <v>33.6</v>
      </c>
      <c r="DZ38" s="99">
        <f>+EA38*EB38</f>
        <v>116.73</v>
      </c>
      <c r="EA38" s="99">
        <v>4.5</v>
      </c>
      <c r="EB38" s="298">
        <v>25.94</v>
      </c>
      <c r="EC38" s="99">
        <f>+ED38*EE38</f>
        <v>128.00199999999998</v>
      </c>
      <c r="ED38" s="99">
        <v>4.0999999999999996</v>
      </c>
      <c r="EE38" s="298">
        <v>31.22</v>
      </c>
      <c r="EF38" s="99">
        <f t="shared" ref="EF38:EG41" si="167">+EI38-EC38-DZ38-DW38</f>
        <v>139.44800000000001</v>
      </c>
      <c r="EG38" s="99">
        <f t="shared" si="167"/>
        <v>5.1000000000000005</v>
      </c>
      <c r="EH38" s="298">
        <f>+EF38/EG38</f>
        <v>27.342745098039213</v>
      </c>
      <c r="EI38" s="282">
        <f>+EJ38*EK38</f>
        <v>528.66</v>
      </c>
      <c r="EJ38" s="282">
        <v>18</v>
      </c>
      <c r="EK38" s="299">
        <v>29.37</v>
      </c>
      <c r="EL38" s="344">
        <v>94.05</v>
      </c>
      <c r="EM38" s="344">
        <v>2.75</v>
      </c>
      <c r="EN38" s="344">
        <v>10.98</v>
      </c>
      <c r="EO38" s="74">
        <v>2.41</v>
      </c>
      <c r="EP38" s="74">
        <v>2.2799999999999998</v>
      </c>
      <c r="EQ38" s="74">
        <v>2.88</v>
      </c>
      <c r="ER38" s="74">
        <v>3.4</v>
      </c>
      <c r="ES38" s="74">
        <v>13.14</v>
      </c>
      <c r="ET38" s="74">
        <v>10.75</v>
      </c>
      <c r="EU38" s="74">
        <v>9.9600000000000009</v>
      </c>
      <c r="EV38" s="74">
        <v>10.08</v>
      </c>
      <c r="EW38" s="74">
        <v>102.98</v>
      </c>
      <c r="EX38" s="74">
        <v>93.29</v>
      </c>
      <c r="EY38" s="74">
        <v>92.17</v>
      </c>
      <c r="EZ38" s="74">
        <v>88.01</v>
      </c>
    </row>
    <row r="39" spans="1:164" ht="26.25" customHeight="1" x14ac:dyDescent="0.3">
      <c r="A39" s="43" t="s">
        <v>35</v>
      </c>
      <c r="B39" s="43" t="s">
        <v>36</v>
      </c>
      <c r="C39" s="53">
        <v>2013</v>
      </c>
      <c r="D39" s="52">
        <v>1095</v>
      </c>
      <c r="E39" s="52">
        <v>41.1</v>
      </c>
      <c r="F39" s="52">
        <v>20.9</v>
      </c>
      <c r="G39" s="52">
        <f t="shared" si="128"/>
        <v>244.5</v>
      </c>
      <c r="H39" s="52">
        <f t="shared" si="129"/>
        <v>1467</v>
      </c>
      <c r="I39" s="52">
        <v>0</v>
      </c>
      <c r="J39" s="52">
        <v>0</v>
      </c>
      <c r="K39" s="52">
        <v>0</v>
      </c>
      <c r="L39" s="52">
        <f t="shared" si="2"/>
        <v>0</v>
      </c>
      <c r="M39" s="52">
        <f t="shared" si="3"/>
        <v>0</v>
      </c>
      <c r="N39" s="52">
        <f t="shared" si="95"/>
        <v>244.5</v>
      </c>
      <c r="O39" s="52">
        <f t="shared" si="95"/>
        <v>1467</v>
      </c>
      <c r="P39" s="54">
        <f t="shared" si="5"/>
        <v>1</v>
      </c>
      <c r="Q39" s="54">
        <f t="shared" si="127"/>
        <v>0.74642126789366048</v>
      </c>
      <c r="R39" s="54">
        <f t="shared" si="12"/>
        <v>0.16809815950920245</v>
      </c>
      <c r="S39" s="54">
        <f t="shared" si="13"/>
        <v>8.5480572597137011E-2</v>
      </c>
      <c r="T39" s="208">
        <v>222.5</v>
      </c>
      <c r="U39" s="207">
        <v>121.9</v>
      </c>
      <c r="V39" s="208">
        <v>3150</v>
      </c>
      <c r="W39" s="52">
        <f t="shared" si="130"/>
        <v>5216.3999999999996</v>
      </c>
      <c r="X39" s="52">
        <f t="shared" si="131"/>
        <v>-1529.4000000000005</v>
      </c>
      <c r="Y39" s="52">
        <f t="shared" si="132"/>
        <v>869.4</v>
      </c>
      <c r="Z39" s="52">
        <f t="shared" si="133"/>
        <v>-254.89999999999998</v>
      </c>
      <c r="AA39" s="205">
        <f t="shared" si="159"/>
        <v>-0.22671884728275371</v>
      </c>
      <c r="AB39" s="44"/>
      <c r="AC39" s="45">
        <v>388</v>
      </c>
      <c r="AD39" s="45">
        <v>2160</v>
      </c>
      <c r="AE39" s="45">
        <v>5</v>
      </c>
      <c r="AF39" s="45">
        <v>0</v>
      </c>
      <c r="AG39" s="55">
        <f t="shared" si="17"/>
        <v>2553</v>
      </c>
      <c r="AH39" s="45">
        <v>-61.1</v>
      </c>
      <c r="AI39" s="45">
        <v>96.3</v>
      </c>
      <c r="AJ39" s="45">
        <v>0.6</v>
      </c>
      <c r="AK39" s="45">
        <v>0</v>
      </c>
      <c r="AL39" s="55">
        <f t="shared" si="56"/>
        <v>35.799999999999997</v>
      </c>
      <c r="AM39" s="45">
        <v>-32.9</v>
      </c>
      <c r="AN39" s="45">
        <v>524</v>
      </c>
      <c r="AO39" s="45">
        <v>2</v>
      </c>
      <c r="AP39" s="45">
        <v>0</v>
      </c>
      <c r="AQ39" s="55">
        <f t="shared" si="134"/>
        <v>493.1</v>
      </c>
      <c r="AR39" s="55">
        <f t="shared" si="9"/>
        <v>5726.4000000000005</v>
      </c>
      <c r="AS39" s="55">
        <f t="shared" si="10"/>
        <v>954.40000000000009</v>
      </c>
      <c r="AT39" s="46">
        <v>997</v>
      </c>
      <c r="AU39" s="46">
        <v>22</v>
      </c>
      <c r="AV39" s="46">
        <v>699</v>
      </c>
      <c r="AW39" s="46">
        <f>4888-815-7</f>
        <v>4066</v>
      </c>
      <c r="AX39" s="50">
        <f t="shared" si="164"/>
        <v>5784</v>
      </c>
      <c r="AY39" s="52">
        <f t="shared" si="135"/>
        <v>28987</v>
      </c>
      <c r="AZ39" s="52">
        <f t="shared" si="136"/>
        <v>1843.5666666666668</v>
      </c>
      <c r="BA39" s="52">
        <f t="shared" si="137"/>
        <v>11061.400000000001</v>
      </c>
      <c r="BB39" s="50">
        <f t="shared" si="138"/>
        <v>15.72332616124541</v>
      </c>
      <c r="BC39" s="50">
        <f t="shared" si="139"/>
        <v>2.6205543602075685</v>
      </c>
      <c r="BD39" s="44" t="s">
        <v>37</v>
      </c>
      <c r="BE39" s="47">
        <f>1159+1574</f>
        <v>2733</v>
      </c>
      <c r="BF39" s="48">
        <v>457</v>
      </c>
      <c r="BG39" s="48">
        <v>0</v>
      </c>
      <c r="BH39" s="47">
        <f t="shared" si="160"/>
        <v>206.608071278826</v>
      </c>
      <c r="BI39" s="48">
        <v>26</v>
      </c>
      <c r="BJ39" s="48">
        <v>0</v>
      </c>
      <c r="BK39" s="47">
        <f t="shared" si="161"/>
        <v>11.754507337526205</v>
      </c>
      <c r="BL39" s="48">
        <v>0</v>
      </c>
      <c r="BM39" s="48">
        <v>229</v>
      </c>
      <c r="BN39" s="47">
        <f t="shared" si="162"/>
        <v>229</v>
      </c>
      <c r="BO39" s="48">
        <f>740+116+38</f>
        <v>894</v>
      </c>
      <c r="BP39" s="48">
        <v>0</v>
      </c>
      <c r="BQ39" s="47">
        <f t="shared" si="163"/>
        <v>404.17421383647797</v>
      </c>
      <c r="BR39" s="48">
        <v>8626</v>
      </c>
      <c r="BS39" s="48">
        <v>19080</v>
      </c>
      <c r="BT39" s="202">
        <f t="shared" si="140"/>
        <v>0.4520964360587002</v>
      </c>
      <c r="BU39" s="49">
        <f t="shared" si="141"/>
        <v>3584.53679245283</v>
      </c>
      <c r="BV39" s="50">
        <f t="shared" si="142"/>
        <v>14.660682177721187</v>
      </c>
      <c r="BW39" s="50">
        <f t="shared" si="143"/>
        <v>2.4434470296201978</v>
      </c>
      <c r="BX39" s="44"/>
      <c r="BY39" s="91">
        <f t="shared" si="144"/>
        <v>9368.5367924528291</v>
      </c>
      <c r="BZ39" s="56">
        <f t="shared" si="145"/>
        <v>936.85367924528293</v>
      </c>
      <c r="CA39" s="141">
        <f t="shared" si="146"/>
        <v>0.1619733193715911</v>
      </c>
      <c r="CB39" s="56">
        <f t="shared" si="147"/>
        <v>3.8317123895512593</v>
      </c>
      <c r="CC39" s="56">
        <f t="shared" si="148"/>
        <v>0.63861873159187654</v>
      </c>
      <c r="CD39" s="56">
        <f t="shared" si="149"/>
        <v>23.656441717791409</v>
      </c>
      <c r="CE39" s="56">
        <f t="shared" si="149"/>
        <v>3.9427402862985685</v>
      </c>
      <c r="CF39" s="56">
        <f t="shared" si="150"/>
        <v>30.384008338966595</v>
      </c>
      <c r="CG39" s="56">
        <f t="shared" si="151"/>
        <v>34.215720728517852</v>
      </c>
      <c r="CH39" s="56">
        <f t="shared" si="152"/>
        <v>54.040450056758004</v>
      </c>
      <c r="CI39" s="56">
        <f t="shared" si="153"/>
        <v>5.0640013898277658</v>
      </c>
      <c r="CJ39" s="38">
        <f t="shared" si="154"/>
        <v>5.7026201214196419</v>
      </c>
      <c r="CK39" s="56">
        <f t="shared" si="155"/>
        <v>9.0067416761263352</v>
      </c>
      <c r="CL39" s="51">
        <v>4</v>
      </c>
      <c r="CM39" s="56">
        <f t="shared" si="156"/>
        <v>3.0384008338966595</v>
      </c>
      <c r="CN39" s="56">
        <f t="shared" si="157"/>
        <v>742.88900388773322</v>
      </c>
      <c r="CO39" s="145">
        <f t="shared" si="158"/>
        <v>0.12843862446191792</v>
      </c>
      <c r="CP39" s="63"/>
      <c r="CQ39" s="327">
        <v>12013</v>
      </c>
      <c r="CS39" s="270">
        <v>303</v>
      </c>
      <c r="CT39" s="269">
        <f>+CS39/CU39</f>
        <v>142.25352112676057</v>
      </c>
      <c r="CU39" s="133">
        <v>2.13</v>
      </c>
      <c r="CV39" s="269">
        <v>1073</v>
      </c>
      <c r="CW39" s="269">
        <f>+CV39/CX39</f>
        <v>409.5419847328244</v>
      </c>
      <c r="CX39" s="133">
        <v>2.62</v>
      </c>
      <c r="CY39" s="269">
        <v>624</v>
      </c>
      <c r="CZ39" s="269">
        <f>+CY39/DA39</f>
        <v>276.10619469026551</v>
      </c>
      <c r="DA39" s="133">
        <v>2.2599999999999998</v>
      </c>
      <c r="DB39" s="269">
        <f t="shared" si="165"/>
        <v>387</v>
      </c>
      <c r="DC39" s="269">
        <f t="shared" si="165"/>
        <v>242.50188689409572</v>
      </c>
      <c r="DD39" s="133">
        <f>+DB39/DC39</f>
        <v>1.5958638712325106</v>
      </c>
      <c r="DE39" s="274">
        <v>2387</v>
      </c>
      <c r="DF39" s="274">
        <f>+DE39/DG39</f>
        <v>1070.4035874439462</v>
      </c>
      <c r="DG39" s="273">
        <v>2.23</v>
      </c>
      <c r="DH39" s="272">
        <f>+DI39*DJ39</f>
        <v>882.10500000000002</v>
      </c>
      <c r="DI39" s="272">
        <v>9.3000000000000007</v>
      </c>
      <c r="DJ39" s="296">
        <v>94.85</v>
      </c>
      <c r="DK39" s="272">
        <f>+DL39*DM39</f>
        <v>985.005</v>
      </c>
      <c r="DL39" s="272">
        <v>10.5</v>
      </c>
      <c r="DM39" s="296">
        <v>93.81</v>
      </c>
      <c r="DN39" s="272">
        <f>+DO39*DP39</f>
        <v>1012.99</v>
      </c>
      <c r="DO39" s="272">
        <v>11</v>
      </c>
      <c r="DP39" s="296">
        <v>92.09</v>
      </c>
      <c r="DQ39" s="272">
        <f t="shared" si="166"/>
        <v>979.63999999999987</v>
      </c>
      <c r="DR39" s="272">
        <f t="shared" si="166"/>
        <v>10.199999999999999</v>
      </c>
      <c r="DS39" s="296">
        <f>+DQ39/DR39</f>
        <v>96.04313725490195</v>
      </c>
      <c r="DT39" s="277">
        <f>+DU39*DV39</f>
        <v>3859.7400000000002</v>
      </c>
      <c r="DU39" s="277">
        <v>41</v>
      </c>
      <c r="DV39" s="297">
        <v>94.14</v>
      </c>
      <c r="DW39" s="99">
        <f>+DX39*DY39</f>
        <v>138.42500000000001</v>
      </c>
      <c r="DX39" s="99">
        <v>4.9000000000000004</v>
      </c>
      <c r="DY39" s="298">
        <v>28.25</v>
      </c>
      <c r="DZ39" s="99">
        <f>+EA39*EB39</f>
        <v>116.25599999999999</v>
      </c>
      <c r="EA39" s="99">
        <v>4.8</v>
      </c>
      <c r="EB39" s="298">
        <v>24.22</v>
      </c>
      <c r="EC39" s="99">
        <f>+ED39*EE39</f>
        <v>143.208</v>
      </c>
      <c r="ED39" s="99">
        <v>5.4</v>
      </c>
      <c r="EE39" s="298">
        <v>26.52</v>
      </c>
      <c r="EF39" s="99">
        <f t="shared" si="167"/>
        <v>187.38100000000003</v>
      </c>
      <c r="EG39" s="99">
        <f t="shared" si="167"/>
        <v>5.9</v>
      </c>
      <c r="EH39" s="298">
        <f>+EF39/EG39</f>
        <v>31.75949152542373</v>
      </c>
      <c r="EI39" s="282">
        <f>+EJ39*EK39</f>
        <v>585.27</v>
      </c>
      <c r="EJ39" s="282">
        <v>21</v>
      </c>
      <c r="EK39" s="299">
        <v>27.87</v>
      </c>
      <c r="EL39" s="344">
        <v>97.98</v>
      </c>
      <c r="EM39" s="344">
        <v>3.73</v>
      </c>
      <c r="EN39" s="344">
        <v>9.94</v>
      </c>
      <c r="EO39" s="74">
        <v>3.49</v>
      </c>
      <c r="EP39" s="74">
        <v>4.01</v>
      </c>
      <c r="EQ39" s="74">
        <v>3.56</v>
      </c>
      <c r="ER39" s="74">
        <v>3.85</v>
      </c>
      <c r="ES39" s="74">
        <v>9.77</v>
      </c>
      <c r="ET39" s="74">
        <v>9.39</v>
      </c>
      <c r="EU39" s="74">
        <v>10.01</v>
      </c>
      <c r="EV39" s="74">
        <v>10.53</v>
      </c>
      <c r="EW39" s="74">
        <v>94.33</v>
      </c>
      <c r="EX39" s="74">
        <v>94.05</v>
      </c>
      <c r="EY39" s="74">
        <v>105.83</v>
      </c>
      <c r="EZ39" s="74">
        <v>97.44</v>
      </c>
    </row>
    <row r="40" spans="1:164" ht="26.25" customHeight="1" x14ac:dyDescent="0.3">
      <c r="A40" s="43" t="s">
        <v>35</v>
      </c>
      <c r="B40" s="43" t="s">
        <v>36</v>
      </c>
      <c r="C40" s="53">
        <v>2014</v>
      </c>
      <c r="D40" s="52">
        <v>1095</v>
      </c>
      <c r="E40" s="52">
        <v>42.3</v>
      </c>
      <c r="F40" s="52">
        <v>33.1</v>
      </c>
      <c r="G40" s="52">
        <f t="shared" si="128"/>
        <v>257.90000000000003</v>
      </c>
      <c r="H40" s="52">
        <f t="shared" si="129"/>
        <v>1547.4</v>
      </c>
      <c r="I40" s="52">
        <v>0</v>
      </c>
      <c r="J40" s="52">
        <v>0</v>
      </c>
      <c r="K40" s="52">
        <v>0</v>
      </c>
      <c r="L40" s="52">
        <f t="shared" si="2"/>
        <v>0</v>
      </c>
      <c r="M40" s="52">
        <f t="shared" si="3"/>
        <v>0</v>
      </c>
      <c r="N40" s="52">
        <f t="shared" si="95"/>
        <v>257.90000000000003</v>
      </c>
      <c r="O40" s="52">
        <f t="shared" si="95"/>
        <v>1547.4</v>
      </c>
      <c r="P40" s="54">
        <f t="shared" si="5"/>
        <v>1</v>
      </c>
      <c r="Q40" s="54">
        <f t="shared" si="127"/>
        <v>0.70763861962000774</v>
      </c>
      <c r="R40" s="54">
        <f t="shared" si="12"/>
        <v>0.1640170608763086</v>
      </c>
      <c r="S40" s="54">
        <f t="shared" si="13"/>
        <v>0.12834431950368358</v>
      </c>
      <c r="T40" s="208">
        <v>191.5</v>
      </c>
      <c r="U40" s="208">
        <v>67.8</v>
      </c>
      <c r="V40" s="208">
        <v>2077</v>
      </c>
      <c r="W40" s="52">
        <f t="shared" si="130"/>
        <v>3632.8</v>
      </c>
      <c r="X40" s="52">
        <f t="shared" si="131"/>
        <v>-1583.5999999999995</v>
      </c>
      <c r="Y40" s="52">
        <f t="shared" si="132"/>
        <v>605.4666666666667</v>
      </c>
      <c r="Z40" s="52">
        <f t="shared" si="133"/>
        <v>-263.93333333333328</v>
      </c>
      <c r="AA40" s="205">
        <f t="shared" si="159"/>
        <v>-0.30358101372594121</v>
      </c>
      <c r="AB40" s="44"/>
      <c r="AC40" s="45">
        <v>-129</v>
      </c>
      <c r="AD40" s="45">
        <v>1567</v>
      </c>
      <c r="AE40" s="45">
        <v>36</v>
      </c>
      <c r="AF40" s="45">
        <v>0</v>
      </c>
      <c r="AG40" s="55">
        <f>SUM(AC40:AF40)</f>
        <v>1474</v>
      </c>
      <c r="AH40" s="45">
        <v>-51.1</v>
      </c>
      <c r="AI40" s="45">
        <v>108.6</v>
      </c>
      <c r="AJ40" s="45">
        <v>5.0999999999999996</v>
      </c>
      <c r="AK40" s="45">
        <v>0</v>
      </c>
      <c r="AL40" s="55">
        <f t="shared" si="56"/>
        <v>62.599999999999994</v>
      </c>
      <c r="AM40" s="45">
        <v>21.3</v>
      </c>
      <c r="AN40" s="45">
        <v>78.2</v>
      </c>
      <c r="AO40" s="45">
        <v>2.6</v>
      </c>
      <c r="AP40" s="45">
        <v>0</v>
      </c>
      <c r="AQ40" s="55">
        <f>SUM(AM40:AP40)</f>
        <v>102.1</v>
      </c>
      <c r="AR40" s="55">
        <f t="shared" si="9"/>
        <v>2462.1999999999998</v>
      </c>
      <c r="AS40" s="55">
        <f t="shared" si="10"/>
        <v>410.36666666666667</v>
      </c>
      <c r="AT40" s="46">
        <v>1224</v>
      </c>
      <c r="AU40" s="46">
        <v>214</v>
      </c>
      <c r="AV40" s="46">
        <v>421</v>
      </c>
      <c r="AW40" s="46">
        <f>4204-604-39</f>
        <v>3561</v>
      </c>
      <c r="AX40" s="50">
        <f t="shared" si="164"/>
        <v>5420</v>
      </c>
      <c r="AY40" s="52">
        <f t="shared" si="135"/>
        <v>22595</v>
      </c>
      <c r="AZ40" s="52">
        <f t="shared" si="136"/>
        <v>1310</v>
      </c>
      <c r="BA40" s="52">
        <f t="shared" si="137"/>
        <v>7860</v>
      </c>
      <c r="BB40" s="50">
        <f t="shared" si="138"/>
        <v>17.248091603053435</v>
      </c>
      <c r="BC40" s="50">
        <f t="shared" si="139"/>
        <v>2.8746819338422394</v>
      </c>
      <c r="BD40" s="44"/>
      <c r="BE40" s="47">
        <f>1208+2174</f>
        <v>3382</v>
      </c>
      <c r="BF40" s="48">
        <v>322</v>
      </c>
      <c r="BG40" s="48">
        <v>0</v>
      </c>
      <c r="BH40" s="47">
        <f t="shared" si="160"/>
        <v>144.17245405405404</v>
      </c>
      <c r="BI40" s="48">
        <v>10</v>
      </c>
      <c r="BJ40" s="48">
        <v>0</v>
      </c>
      <c r="BK40" s="47">
        <f t="shared" si="161"/>
        <v>4.4774054054054053</v>
      </c>
      <c r="BL40" s="48">
        <v>0</v>
      </c>
      <c r="BM40" s="48">
        <v>232</v>
      </c>
      <c r="BN40" s="47">
        <f t="shared" si="162"/>
        <v>232</v>
      </c>
      <c r="BO40" s="48">
        <f>704+36+28</f>
        <v>768</v>
      </c>
      <c r="BP40" s="48">
        <v>0</v>
      </c>
      <c r="BQ40" s="47">
        <f t="shared" si="163"/>
        <v>343.86473513513511</v>
      </c>
      <c r="BR40" s="48">
        <v>10354</v>
      </c>
      <c r="BS40" s="48">
        <v>23125</v>
      </c>
      <c r="BT40" s="202">
        <f t="shared" si="140"/>
        <v>0.44774054054054052</v>
      </c>
      <c r="BU40" s="49">
        <f t="shared" si="141"/>
        <v>4106.5145945945942</v>
      </c>
      <c r="BV40" s="50">
        <f t="shared" si="142"/>
        <v>15.922894899552515</v>
      </c>
      <c r="BW40" s="50">
        <f t="shared" si="143"/>
        <v>2.6538158165920862</v>
      </c>
      <c r="BX40" s="44"/>
      <c r="BY40" s="91">
        <f t="shared" si="144"/>
        <v>9526.5145945945951</v>
      </c>
      <c r="BZ40" s="56">
        <f t="shared" si="145"/>
        <v>952.6514594594596</v>
      </c>
      <c r="CA40" s="141">
        <f t="shared" si="146"/>
        <v>0.17576595192978958</v>
      </c>
      <c r="CB40" s="56">
        <f t="shared" si="147"/>
        <v>3.6938792534294667</v>
      </c>
      <c r="CC40" s="56">
        <f t="shared" si="148"/>
        <v>0.61564654223824455</v>
      </c>
      <c r="CD40" s="56">
        <f t="shared" si="149"/>
        <v>21.015897634742146</v>
      </c>
      <c r="CE40" s="56">
        <f t="shared" si="149"/>
        <v>3.5026496057903578</v>
      </c>
      <c r="CF40" s="56">
        <f t="shared" si="150"/>
        <v>33.170986502605949</v>
      </c>
      <c r="CG40" s="56">
        <f t="shared" si="151"/>
        <v>36.864865756035414</v>
      </c>
      <c r="CH40" s="56">
        <f t="shared" si="152"/>
        <v>54.186884137348095</v>
      </c>
      <c r="CI40" s="56">
        <f t="shared" si="153"/>
        <v>5.528497750434326</v>
      </c>
      <c r="CJ40" s="56">
        <f t="shared" si="154"/>
        <v>6.1441442926725705</v>
      </c>
      <c r="CK40" s="56">
        <f t="shared" si="155"/>
        <v>9.0311473562246842</v>
      </c>
      <c r="CL40" s="51">
        <v>4</v>
      </c>
      <c r="CM40" s="56">
        <f t="shared" si="156"/>
        <v>3.3170986502605948</v>
      </c>
      <c r="CN40" s="56">
        <f t="shared" si="157"/>
        <v>855.47974190220748</v>
      </c>
      <c r="CO40" s="173">
        <f t="shared" si="158"/>
        <v>0.15783759075686485</v>
      </c>
      <c r="CP40" s="174"/>
      <c r="CQ40" s="328">
        <v>9788</v>
      </c>
      <c r="CR40" s="82"/>
      <c r="CS40" s="270">
        <f>+CT40*CU40</f>
        <v>850.2</v>
      </c>
      <c r="CT40" s="269">
        <v>260</v>
      </c>
      <c r="CU40" s="133">
        <v>3.27</v>
      </c>
      <c r="CV40" s="269">
        <f>+CW40*CX40</f>
        <v>664.68500000000006</v>
      </c>
      <c r="CW40" s="269">
        <v>271.3</v>
      </c>
      <c r="CX40" s="133">
        <v>2.4500000000000002</v>
      </c>
      <c r="CY40" s="269">
        <f>+CZ40*DA40</f>
        <v>589.38</v>
      </c>
      <c r="CZ40" s="269">
        <v>282</v>
      </c>
      <c r="DA40" s="133">
        <v>2.09</v>
      </c>
      <c r="DB40" s="269">
        <f t="shared" si="165"/>
        <v>479.9349999999996</v>
      </c>
      <c r="DC40" s="269">
        <f t="shared" si="165"/>
        <v>281.70000000000005</v>
      </c>
      <c r="DD40" s="133">
        <f>+DB40/DC40</f>
        <v>1.7037096201632926</v>
      </c>
      <c r="DE40" s="274">
        <f>+DF40*DG40</f>
        <v>2584.1999999999998</v>
      </c>
      <c r="DF40" s="274">
        <v>1095</v>
      </c>
      <c r="DG40" s="273">
        <v>2.36</v>
      </c>
      <c r="DH40" s="272">
        <f>+DI40*DJ40</f>
        <v>842.29200000000003</v>
      </c>
      <c r="DI40" s="272">
        <v>9.9</v>
      </c>
      <c r="DJ40" s="296">
        <v>85.08</v>
      </c>
      <c r="DK40" s="272">
        <f>+DL40*DM40</f>
        <v>877.86900000000014</v>
      </c>
      <c r="DL40" s="272">
        <v>10.3</v>
      </c>
      <c r="DM40" s="296">
        <v>85.23</v>
      </c>
      <c r="DN40" s="272">
        <f>+DO40*DP40</f>
        <v>924.42900000000009</v>
      </c>
      <c r="DO40" s="272">
        <v>10.9</v>
      </c>
      <c r="DP40" s="296">
        <v>84.81</v>
      </c>
      <c r="DQ40" s="272">
        <f t="shared" si="166"/>
        <v>927.09</v>
      </c>
      <c r="DR40" s="272">
        <f t="shared" si="166"/>
        <v>10.9</v>
      </c>
      <c r="DS40" s="296">
        <f>+DQ40/DR40</f>
        <v>85.054128440366966</v>
      </c>
      <c r="DT40" s="277">
        <f>+DU40*DV40</f>
        <v>3571.6800000000003</v>
      </c>
      <c r="DU40" s="277">
        <v>42</v>
      </c>
      <c r="DV40" s="297">
        <v>85.04</v>
      </c>
      <c r="DW40" s="99">
        <f>+DX40*DY40</f>
        <v>222.148</v>
      </c>
      <c r="DX40" s="99">
        <v>7.6</v>
      </c>
      <c r="DY40" s="298">
        <v>29.23</v>
      </c>
      <c r="DZ40" s="99">
        <f>+EA40*EB40</f>
        <v>161.93100000000001</v>
      </c>
      <c r="EA40" s="99">
        <v>7.7</v>
      </c>
      <c r="EB40" s="298">
        <v>21.03</v>
      </c>
      <c r="EC40" s="99">
        <f>+ED40*EE40</f>
        <v>201.96</v>
      </c>
      <c r="ED40" s="99">
        <v>8.8000000000000007</v>
      </c>
      <c r="EE40" s="298">
        <v>22.95</v>
      </c>
      <c r="EF40" s="99">
        <f t="shared" si="167"/>
        <v>435.31099999999992</v>
      </c>
      <c r="EG40" s="99">
        <f t="shared" si="167"/>
        <v>8.9</v>
      </c>
      <c r="EH40" s="298">
        <f>+EF40/EG40</f>
        <v>48.911348314606734</v>
      </c>
      <c r="EI40" s="282">
        <f>+EJ40*EK40</f>
        <v>1021.35</v>
      </c>
      <c r="EJ40" s="282">
        <v>33</v>
      </c>
      <c r="EK40" s="299">
        <v>30.95</v>
      </c>
      <c r="EL40" s="344">
        <v>93.17</v>
      </c>
      <c r="EM40" s="344">
        <v>4.37</v>
      </c>
      <c r="EN40" s="344">
        <v>9.56</v>
      </c>
      <c r="EO40" s="74">
        <v>5.21</v>
      </c>
      <c r="EP40" s="74">
        <v>4.6100000000000003</v>
      </c>
      <c r="EQ40" s="74">
        <v>3.96</v>
      </c>
      <c r="ER40" s="74">
        <v>3.8</v>
      </c>
      <c r="ES40" s="74">
        <v>11.19</v>
      </c>
      <c r="ET40" s="74">
        <v>10.15</v>
      </c>
      <c r="EU40" s="74">
        <v>9.83</v>
      </c>
      <c r="EV40" s="74">
        <v>7.41</v>
      </c>
      <c r="EW40" s="74">
        <v>98.68</v>
      </c>
      <c r="EX40" s="74">
        <v>103.35</v>
      </c>
      <c r="EY40" s="74">
        <v>97.87</v>
      </c>
      <c r="EZ40" s="74">
        <v>73.209999999999994</v>
      </c>
    </row>
    <row r="41" spans="1:164" s="225" customFormat="1" ht="26.25" customHeight="1" x14ac:dyDescent="0.3">
      <c r="A41" s="43" t="s">
        <v>35</v>
      </c>
      <c r="B41" s="43" t="s">
        <v>36</v>
      </c>
      <c r="C41" s="53">
        <v>2015</v>
      </c>
      <c r="D41" s="52">
        <v>1070</v>
      </c>
      <c r="E41" s="52">
        <v>41.6</v>
      </c>
      <c r="F41" s="52">
        <v>28</v>
      </c>
      <c r="G41" s="52">
        <f t="shared" si="128"/>
        <v>247.93333333333334</v>
      </c>
      <c r="H41" s="52">
        <f t="shared" si="129"/>
        <v>1487.6</v>
      </c>
      <c r="I41" s="52">
        <v>0</v>
      </c>
      <c r="J41" s="52">
        <v>0</v>
      </c>
      <c r="K41" s="52">
        <v>0</v>
      </c>
      <c r="L41" s="52">
        <f t="shared" si="2"/>
        <v>0</v>
      </c>
      <c r="M41" s="52">
        <f t="shared" si="3"/>
        <v>0</v>
      </c>
      <c r="N41" s="52">
        <f t="shared" si="95"/>
        <v>247.93333333333334</v>
      </c>
      <c r="O41" s="52">
        <f t="shared" si="95"/>
        <v>1487.6</v>
      </c>
      <c r="P41" s="54">
        <f t="shared" si="5"/>
        <v>1</v>
      </c>
      <c r="Q41" s="54">
        <f t="shared" si="127"/>
        <v>0.71927937617639159</v>
      </c>
      <c r="R41" s="54">
        <f t="shared" si="12"/>
        <v>0.1677870395267545</v>
      </c>
      <c r="S41" s="54">
        <f t="shared" si="13"/>
        <v>0.11293358429685399</v>
      </c>
      <c r="T41" s="208">
        <v>98.1</v>
      </c>
      <c r="U41" s="208">
        <v>25.5</v>
      </c>
      <c r="V41" s="208">
        <v>712</v>
      </c>
      <c r="W41" s="52">
        <f>+T41*6+U41*6+V41</f>
        <v>1453.6</v>
      </c>
      <c r="X41" s="52">
        <f t="shared" si="131"/>
        <v>-2179.2000000000003</v>
      </c>
      <c r="Y41" s="52">
        <f t="shared" si="132"/>
        <v>242.26666666666665</v>
      </c>
      <c r="Z41" s="52">
        <f t="shared" si="133"/>
        <v>-363.20000000000005</v>
      </c>
      <c r="AA41" s="205">
        <f t="shared" si="159"/>
        <v>-0.59986787051310286</v>
      </c>
      <c r="AB41" s="44"/>
      <c r="AC41" s="45">
        <v>-4191</v>
      </c>
      <c r="AD41" s="45">
        <v>805</v>
      </c>
      <c r="AE41" s="45">
        <v>0</v>
      </c>
      <c r="AF41" s="45">
        <v>0</v>
      </c>
      <c r="AG41" s="55">
        <f>SUM(AC41:AF41)</f>
        <v>-3386</v>
      </c>
      <c r="AH41" s="45">
        <v>-110</v>
      </c>
      <c r="AI41" s="45">
        <v>61.1</v>
      </c>
      <c r="AJ41" s="45">
        <v>0</v>
      </c>
      <c r="AK41" s="45">
        <v>0</v>
      </c>
      <c r="AL41" s="55">
        <f t="shared" si="56"/>
        <v>-48.9</v>
      </c>
      <c r="AM41" s="45">
        <v>-75.8</v>
      </c>
      <c r="AN41" s="45">
        <v>35.299999999999997</v>
      </c>
      <c r="AO41" s="45">
        <v>0</v>
      </c>
      <c r="AP41" s="45">
        <v>0</v>
      </c>
      <c r="AQ41" s="55">
        <f>SUM(AM41:AP41)</f>
        <v>-40.5</v>
      </c>
      <c r="AR41" s="55">
        <f t="shared" si="9"/>
        <v>-3922.4</v>
      </c>
      <c r="AS41" s="55">
        <f t="shared" si="10"/>
        <v>-653.73333333333335</v>
      </c>
      <c r="AT41" s="46">
        <v>454</v>
      </c>
      <c r="AU41" s="46">
        <v>0</v>
      </c>
      <c r="AV41" s="46">
        <v>112</v>
      </c>
      <c r="AW41" s="46">
        <f>2941-410+15</f>
        <v>2546</v>
      </c>
      <c r="AX41" s="50">
        <f t="shared" si="164"/>
        <v>3112</v>
      </c>
      <c r="AY41" s="52">
        <f>SUM(AX39:AX41)</f>
        <v>14316</v>
      </c>
      <c r="AZ41" s="52">
        <f t="shared" si="136"/>
        <v>711.03333333333353</v>
      </c>
      <c r="BA41" s="52">
        <f t="shared" si="137"/>
        <v>4266.2000000000007</v>
      </c>
      <c r="BB41" s="50">
        <f>AY41/AZ41</f>
        <v>20.134077164689881</v>
      </c>
      <c r="BC41" s="50">
        <f>AY41/BA41</f>
        <v>3.3556795274483142</v>
      </c>
      <c r="BD41" s="44"/>
      <c r="BE41" s="47">
        <f>1046+2119</f>
        <v>3165</v>
      </c>
      <c r="BF41" s="48">
        <v>235</v>
      </c>
      <c r="BG41" s="48">
        <v>0</v>
      </c>
      <c r="BH41" s="47">
        <f t="shared" si="160"/>
        <v>99.254544030084617</v>
      </c>
      <c r="BI41" s="48">
        <v>44</v>
      </c>
      <c r="BJ41" s="48">
        <v>0</v>
      </c>
      <c r="BK41" s="47">
        <f t="shared" si="161"/>
        <v>18.583829520526482</v>
      </c>
      <c r="BL41" s="48">
        <v>0</v>
      </c>
      <c r="BM41" s="48">
        <v>99</v>
      </c>
      <c r="BN41" s="47">
        <f t="shared" si="162"/>
        <v>99</v>
      </c>
      <c r="BO41" s="48">
        <f>682+0+12</f>
        <v>694</v>
      </c>
      <c r="BP41" s="48">
        <v>0</v>
      </c>
      <c r="BQ41" s="47">
        <f t="shared" si="163"/>
        <v>293.11767471012223</v>
      </c>
      <c r="BR41" s="48">
        <v>5391</v>
      </c>
      <c r="BS41" s="48">
        <v>12764</v>
      </c>
      <c r="BT41" s="202">
        <f t="shared" si="140"/>
        <v>0.42235976183014728</v>
      </c>
      <c r="BU41" s="49">
        <f t="shared" si="141"/>
        <v>3674.9560482607335</v>
      </c>
      <c r="BV41" s="50">
        <f t="shared" si="142"/>
        <v>14.822355666553106</v>
      </c>
      <c r="BW41" s="50">
        <f t="shared" si="143"/>
        <v>2.4703926110921843</v>
      </c>
      <c r="BX41" s="44"/>
      <c r="BY41" s="91">
        <f t="shared" si="144"/>
        <v>6786.956048260734</v>
      </c>
      <c r="BZ41" s="56">
        <f>(BY41*0.1)</f>
        <v>678.69560482607346</v>
      </c>
      <c r="CA41" s="141">
        <f t="shared" si="146"/>
        <v>0.21808984730914957</v>
      </c>
      <c r="CB41" s="56">
        <f t="shared" si="147"/>
        <v>2.7374116892689169</v>
      </c>
      <c r="CC41" s="56">
        <f t="shared" si="148"/>
        <v>0.45623528154481952</v>
      </c>
      <c r="CD41" s="56">
        <f t="shared" si="149"/>
        <v>12.551761226136058</v>
      </c>
      <c r="CE41" s="56">
        <f t="shared" si="149"/>
        <v>2.0919602043560097</v>
      </c>
      <c r="CF41" s="56">
        <f t="shared" si="150"/>
        <v>34.956432831242985</v>
      </c>
      <c r="CG41" s="56">
        <f>CB41+CF41</f>
        <v>37.693844520511902</v>
      </c>
      <c r="CH41" s="56">
        <f>CF41+CD41</f>
        <v>47.508194057379043</v>
      </c>
      <c r="CI41" s="56">
        <f t="shared" si="153"/>
        <v>5.8260721385404981</v>
      </c>
      <c r="CJ41" s="56">
        <f>+CI41+CC41</f>
        <v>6.282307420085318</v>
      </c>
      <c r="CK41" s="56">
        <f>+CI41+CE41</f>
        <v>7.9180323428965078</v>
      </c>
      <c r="CL41" s="51">
        <v>4</v>
      </c>
      <c r="CM41" s="56">
        <f t="shared" si="156"/>
        <v>3.4956432831242985</v>
      </c>
      <c r="CN41" s="56">
        <f t="shared" si="157"/>
        <v>866.68649132928442</v>
      </c>
      <c r="CO41" s="173">
        <f t="shared" si="158"/>
        <v>0.27849822986159523</v>
      </c>
      <c r="CP41" s="174"/>
      <c r="CQ41" s="328">
        <v>6798</v>
      </c>
      <c r="CR41" s="169"/>
      <c r="CS41" s="270">
        <f>+CT41*CU41</f>
        <v>968.14600000000007</v>
      </c>
      <c r="CT41" s="269">
        <v>263.8</v>
      </c>
      <c r="CU41" s="133">
        <v>3.67</v>
      </c>
      <c r="CV41" s="269">
        <f>+CW41*CX41</f>
        <v>278.154</v>
      </c>
      <c r="CW41" s="269">
        <v>275.39999999999998</v>
      </c>
      <c r="CX41" s="133">
        <v>1.01</v>
      </c>
      <c r="CY41" s="269">
        <f>+CZ41*DA41</f>
        <v>299.82</v>
      </c>
      <c r="CZ41" s="269">
        <v>263</v>
      </c>
      <c r="DA41" s="133">
        <v>1.1399999999999999</v>
      </c>
      <c r="DB41" s="269">
        <f t="shared" si="165"/>
        <v>1364.28</v>
      </c>
      <c r="DC41" s="269">
        <f t="shared" si="165"/>
        <v>267.80000000000007</v>
      </c>
      <c r="DD41" s="133">
        <f>+DB41/DC41</f>
        <v>5.0943988050784155</v>
      </c>
      <c r="DE41" s="274">
        <f>+DF41*DG41</f>
        <v>2910.4</v>
      </c>
      <c r="DF41" s="274">
        <v>1070</v>
      </c>
      <c r="DG41" s="273">
        <v>2.72</v>
      </c>
      <c r="DH41" s="272">
        <f>486+235</f>
        <v>721</v>
      </c>
      <c r="DI41" s="272">
        <v>11</v>
      </c>
      <c r="DJ41" s="296">
        <v>65.73</v>
      </c>
      <c r="DK41" s="272">
        <f>594+182</f>
        <v>776</v>
      </c>
      <c r="DL41" s="272">
        <v>10.8</v>
      </c>
      <c r="DM41" s="296">
        <v>67.91</v>
      </c>
      <c r="DN41" s="272">
        <f>+DO41*DP41</f>
        <v>658.14</v>
      </c>
      <c r="DO41" s="272">
        <v>10.5</v>
      </c>
      <c r="DP41" s="296">
        <v>62.68</v>
      </c>
      <c r="DQ41" s="272">
        <f t="shared" si="166"/>
        <v>655.07999999999993</v>
      </c>
      <c r="DR41" s="272">
        <f t="shared" si="166"/>
        <v>9.6999999999999993</v>
      </c>
      <c r="DS41" s="296">
        <f>+DQ41/DR41</f>
        <v>67.534020618556696</v>
      </c>
      <c r="DT41" s="277">
        <f>+DU41*DV41</f>
        <v>2810.22</v>
      </c>
      <c r="DU41" s="277">
        <v>42</v>
      </c>
      <c r="DV41" s="297">
        <v>66.91</v>
      </c>
      <c r="DW41" s="99">
        <v>74</v>
      </c>
      <c r="DX41" s="99">
        <v>6</v>
      </c>
      <c r="DY41" s="298">
        <v>6.99</v>
      </c>
      <c r="DZ41" s="99">
        <f>89-3</f>
        <v>86</v>
      </c>
      <c r="EA41" s="99">
        <v>7.2</v>
      </c>
      <c r="EB41" s="298">
        <v>1.9</v>
      </c>
      <c r="EC41" s="99">
        <f>+ED41*EE41</f>
        <v>-9.66</v>
      </c>
      <c r="ED41" s="99">
        <v>7</v>
      </c>
      <c r="EE41" s="298">
        <v>-1.38</v>
      </c>
      <c r="EF41" s="99">
        <f t="shared" si="167"/>
        <v>243.34000000000003</v>
      </c>
      <c r="EG41" s="99">
        <f t="shared" si="167"/>
        <v>7.8000000000000007</v>
      </c>
      <c r="EH41" s="298">
        <f>+EF41/EG41</f>
        <v>31.197435897435899</v>
      </c>
      <c r="EI41" s="282">
        <f>+EJ41*EK41</f>
        <v>393.68</v>
      </c>
      <c r="EJ41" s="282">
        <v>28</v>
      </c>
      <c r="EK41" s="299">
        <v>14.06</v>
      </c>
      <c r="EL41" s="344">
        <v>48.66</v>
      </c>
      <c r="EM41" s="344">
        <v>2.62</v>
      </c>
      <c r="EN41" s="344">
        <v>4.97</v>
      </c>
      <c r="EO41" s="331">
        <v>2.9</v>
      </c>
      <c r="EP41" s="331">
        <v>2.75</v>
      </c>
      <c r="EQ41" s="331">
        <v>2.76</v>
      </c>
      <c r="ER41" s="331">
        <v>2.12</v>
      </c>
      <c r="ES41" s="331">
        <v>5.43</v>
      </c>
      <c r="ET41" s="331">
        <v>5.2</v>
      </c>
      <c r="EU41" s="331">
        <v>4.68</v>
      </c>
      <c r="EV41" s="331">
        <v>4.5999999999999996</v>
      </c>
      <c r="EW41" s="331">
        <v>48.49</v>
      </c>
      <c r="EX41" s="331">
        <v>57.85</v>
      </c>
      <c r="EY41" s="331">
        <v>46.64</v>
      </c>
      <c r="EZ41" s="331">
        <v>41.94</v>
      </c>
      <c r="FA41" s="82"/>
      <c r="FB41" s="82"/>
      <c r="FC41" s="82"/>
      <c r="FD41" s="82"/>
      <c r="FE41" s="82"/>
      <c r="FF41" s="82"/>
      <c r="FG41" s="82"/>
      <c r="FH41" s="82"/>
    </row>
    <row r="42" spans="1:164" ht="26.25" customHeight="1" x14ac:dyDescent="0.3">
      <c r="A42" s="228" t="s">
        <v>35</v>
      </c>
      <c r="B42" s="228" t="s">
        <v>36</v>
      </c>
      <c r="C42" s="229">
        <v>2016</v>
      </c>
      <c r="D42" s="216">
        <v>1050</v>
      </c>
      <c r="E42" s="216">
        <v>33.200000000000003</v>
      </c>
      <c r="F42" s="216">
        <v>28.1</v>
      </c>
      <c r="G42" s="216">
        <f t="shared" si="128"/>
        <v>236.29999999999998</v>
      </c>
      <c r="H42" s="216">
        <f t="shared" si="129"/>
        <v>1417.8000000000002</v>
      </c>
      <c r="I42" s="216">
        <v>0</v>
      </c>
      <c r="J42" s="216">
        <v>0</v>
      </c>
      <c r="K42" s="216">
        <v>0</v>
      </c>
      <c r="L42" s="216">
        <f t="shared" si="2"/>
        <v>0</v>
      </c>
      <c r="M42" s="216">
        <f t="shared" si="3"/>
        <v>0</v>
      </c>
      <c r="N42" s="216">
        <f t="shared" si="95"/>
        <v>236.29999999999998</v>
      </c>
      <c r="O42" s="216">
        <f t="shared" si="95"/>
        <v>1417.8000000000002</v>
      </c>
      <c r="P42" s="302">
        <f t="shared" si="5"/>
        <v>1</v>
      </c>
      <c r="Q42" s="302">
        <f t="shared" si="127"/>
        <v>0.74058400338552677</v>
      </c>
      <c r="R42" s="302">
        <f t="shared" si="12"/>
        <v>0.1404993652137114</v>
      </c>
      <c r="S42" s="302">
        <f t="shared" si="13"/>
        <v>0.11891663140076175</v>
      </c>
      <c r="T42" s="209">
        <v>198.7</v>
      </c>
      <c r="U42" s="209">
        <v>92.2</v>
      </c>
      <c r="V42" s="209">
        <v>1370</v>
      </c>
      <c r="W42" s="216">
        <f>+T42*6+U42*6+V42</f>
        <v>3115.3999999999996</v>
      </c>
      <c r="X42" s="216">
        <f>W42-W41</f>
        <v>1661.7999999999997</v>
      </c>
      <c r="Y42" s="216">
        <f>+T42+U42+V42/6</f>
        <v>519.23333333333335</v>
      </c>
      <c r="Z42" s="216">
        <f>Y42-Y41</f>
        <v>276.9666666666667</v>
      </c>
      <c r="AA42" s="206">
        <f>+Z42/Y41</f>
        <v>1.1432305998899286</v>
      </c>
      <c r="AB42" s="230"/>
      <c r="AC42" s="231">
        <v>598</v>
      </c>
      <c r="AD42" s="231">
        <v>1798</v>
      </c>
      <c r="AE42" s="231">
        <v>299</v>
      </c>
      <c r="AF42" s="231">
        <v>0</v>
      </c>
      <c r="AG42" s="303">
        <f>SUM(AC42:AF42)</f>
        <v>2695</v>
      </c>
      <c r="AH42" s="231">
        <v>-58.9</v>
      </c>
      <c r="AI42" s="231">
        <v>191.2</v>
      </c>
      <c r="AJ42" s="231">
        <v>1</v>
      </c>
      <c r="AK42" s="231">
        <v>0</v>
      </c>
      <c r="AL42" s="303">
        <f t="shared" si="56"/>
        <v>133.29999999999998</v>
      </c>
      <c r="AM42" s="231">
        <v>2.8</v>
      </c>
      <c r="AN42" s="231">
        <v>89</v>
      </c>
      <c r="AO42" s="231">
        <v>3.6</v>
      </c>
      <c r="AP42" s="231">
        <v>0</v>
      </c>
      <c r="AQ42" s="303">
        <f>SUM(AM42:AP42)</f>
        <v>95.399999999999991</v>
      </c>
      <c r="AR42" s="303">
        <f t="shared" si="9"/>
        <v>4067.2000000000003</v>
      </c>
      <c r="AS42" s="303">
        <f t="shared" si="10"/>
        <v>677.86666666666667</v>
      </c>
      <c r="AT42" s="232">
        <v>403</v>
      </c>
      <c r="AU42" s="232">
        <v>403</v>
      </c>
      <c r="AV42" s="232">
        <v>52</v>
      </c>
      <c r="AW42" s="232">
        <f>1312-242+57</f>
        <v>1127</v>
      </c>
      <c r="AX42" s="215">
        <f t="shared" si="164"/>
        <v>1985</v>
      </c>
      <c r="AY42" s="216">
        <f>SUM(AX40:AX42)</f>
        <v>10517</v>
      </c>
      <c r="AZ42" s="216">
        <f>SUM(AS40:AS42)</f>
        <v>434.5</v>
      </c>
      <c r="BA42" s="216">
        <f>SUM(AR40:AR42)</f>
        <v>2607</v>
      </c>
      <c r="BB42" s="215">
        <f>AY42/AZ42</f>
        <v>24.204833141542004</v>
      </c>
      <c r="BC42" s="215">
        <f>AY42/BA42</f>
        <v>4.0341388569236667</v>
      </c>
      <c r="BD42" s="230"/>
      <c r="BE42" s="212">
        <f>710+1855</f>
        <v>2565</v>
      </c>
      <c r="BF42" s="200">
        <v>240</v>
      </c>
      <c r="BG42" s="200">
        <v>0</v>
      </c>
      <c r="BH42" s="212">
        <f t="shared" si="160"/>
        <v>100.24390243902438</v>
      </c>
      <c r="BI42" s="200">
        <v>-27</v>
      </c>
      <c r="BJ42" s="200">
        <v>0</v>
      </c>
      <c r="BK42" s="212">
        <f t="shared" si="161"/>
        <v>-11.277439024390244</v>
      </c>
      <c r="BL42" s="200">
        <v>0</v>
      </c>
      <c r="BM42" s="200">
        <v>74</v>
      </c>
      <c r="BN42" s="212">
        <f t="shared" si="162"/>
        <v>74</v>
      </c>
      <c r="BO42" s="200">
        <f>588+46+35</f>
        <v>669</v>
      </c>
      <c r="BP42" s="200">
        <v>0</v>
      </c>
      <c r="BQ42" s="212">
        <f t="shared" si="163"/>
        <v>279.42987804878049</v>
      </c>
      <c r="BR42" s="200">
        <v>3288</v>
      </c>
      <c r="BS42" s="200">
        <v>7872</v>
      </c>
      <c r="BT42" s="203">
        <f>+P42*BR42/BS42</f>
        <v>0.41768292682926828</v>
      </c>
      <c r="BU42" s="220">
        <f>BQ42+BN42+BK42+BH42+BE42</f>
        <v>3007.3963414634145</v>
      </c>
      <c r="BV42" s="215">
        <f>BU42/G42</f>
        <v>12.727026413302644</v>
      </c>
      <c r="BW42" s="215">
        <f>BU42/H42</f>
        <v>2.1211710688837737</v>
      </c>
      <c r="BX42" s="230"/>
      <c r="BY42" s="304">
        <f>BU42+AX42</f>
        <v>4992.3963414634145</v>
      </c>
      <c r="BZ42" s="305">
        <f>(BY42*0.1)</f>
        <v>499.23963414634147</v>
      </c>
      <c r="CA42" s="306">
        <f>+BZ42/AX42</f>
        <v>0.25150611292007125</v>
      </c>
      <c r="CB42" s="305">
        <f>BZ42/G42</f>
        <v>2.1127364965989908</v>
      </c>
      <c r="CC42" s="305">
        <f>BZ42/H42</f>
        <v>0.35212274943316507</v>
      </c>
      <c r="CD42" s="305">
        <f>+$AX42/G42</f>
        <v>8.4003385526872627</v>
      </c>
      <c r="CE42" s="305">
        <f>+$AX42/H42</f>
        <v>1.4000564254478769</v>
      </c>
      <c r="CF42" s="305">
        <f>BB42+BV42</f>
        <v>36.93185955484465</v>
      </c>
      <c r="CG42" s="305">
        <f>CB42+CF42</f>
        <v>39.044596051443641</v>
      </c>
      <c r="CH42" s="305">
        <f>CF42+CD42</f>
        <v>45.332198107531909</v>
      </c>
      <c r="CI42" s="305">
        <f>+BC42+BW42</f>
        <v>6.1553099258074404</v>
      </c>
      <c r="CJ42" s="305">
        <f>+CI42+CC42</f>
        <v>6.5074326752406053</v>
      </c>
      <c r="CK42" s="305">
        <f>+CI42+CE42</f>
        <v>7.5553663512553175</v>
      </c>
      <c r="CL42" s="307">
        <v>4</v>
      </c>
      <c r="CM42" s="305">
        <f>+CF42/10</f>
        <v>3.693185955484465</v>
      </c>
      <c r="CN42" s="305">
        <f>+CM42*G42</f>
        <v>872.69984128097906</v>
      </c>
      <c r="CO42" s="308">
        <f>+CN42/AX42</f>
        <v>0.43964727520452346</v>
      </c>
      <c r="CP42" s="309"/>
      <c r="CQ42" s="329">
        <v>4802</v>
      </c>
      <c r="CR42" s="325"/>
      <c r="CS42" s="312">
        <f>+CT42*CU42</f>
        <v>632.49799999999993</v>
      </c>
      <c r="CT42" s="313">
        <v>276.2</v>
      </c>
      <c r="CU42" s="314">
        <v>2.29</v>
      </c>
      <c r="CV42" s="313">
        <f>+CW42*CX42</f>
        <v>529.92999999999995</v>
      </c>
      <c r="CW42" s="313">
        <v>269</v>
      </c>
      <c r="CX42" s="314">
        <v>1.97</v>
      </c>
      <c r="CY42" s="313">
        <f>+CZ42*DA42</f>
        <v>570.83999999999992</v>
      </c>
      <c r="CZ42" s="313">
        <v>268</v>
      </c>
      <c r="DA42" s="314">
        <v>2.13</v>
      </c>
      <c r="DB42" s="313">
        <f t="shared" si="165"/>
        <v>574.53200000000038</v>
      </c>
      <c r="DC42" s="313">
        <f t="shared" si="165"/>
        <v>235.79999999999995</v>
      </c>
      <c r="DD42" s="314">
        <f>+DB42/DC42</f>
        <v>2.4365224766751505</v>
      </c>
      <c r="DE42" s="315">
        <f>+DF42*DG42</f>
        <v>2307.8000000000002</v>
      </c>
      <c r="DF42" s="315">
        <v>1049</v>
      </c>
      <c r="DG42" s="316">
        <v>2.2000000000000002</v>
      </c>
      <c r="DH42" s="317">
        <f>+DI42*DJ42</f>
        <v>328.42499999999995</v>
      </c>
      <c r="DI42" s="317">
        <v>8.6999999999999993</v>
      </c>
      <c r="DJ42" s="318">
        <v>37.75</v>
      </c>
      <c r="DK42" s="317">
        <f>+DL42*DM42</f>
        <v>354.48</v>
      </c>
      <c r="DL42" s="317">
        <v>8</v>
      </c>
      <c r="DM42" s="318">
        <v>44.31</v>
      </c>
      <c r="DN42" s="317">
        <f>+DO42*DP42</f>
        <v>361.92</v>
      </c>
      <c r="DO42" s="317">
        <v>8</v>
      </c>
      <c r="DP42" s="318">
        <v>45.24</v>
      </c>
      <c r="DQ42" s="317">
        <f>+DT42-DN42-DK42-DH42</f>
        <v>393.31499999999983</v>
      </c>
      <c r="DR42" s="317">
        <f>+DU42-DO42-DL42-DI42</f>
        <v>8.3000000000000007</v>
      </c>
      <c r="DS42" s="318">
        <f>+DQ42/DR42</f>
        <v>47.387349397590334</v>
      </c>
      <c r="DT42" s="319">
        <f>+DU42*DV42</f>
        <v>1438.1399999999999</v>
      </c>
      <c r="DU42" s="319">
        <v>33</v>
      </c>
      <c r="DV42" s="320">
        <v>43.58</v>
      </c>
      <c r="DW42" s="187">
        <f>+DX42*DY42</f>
        <v>68.64</v>
      </c>
      <c r="DX42" s="187">
        <v>6</v>
      </c>
      <c r="DY42" s="321">
        <v>11.44</v>
      </c>
      <c r="DZ42" s="187">
        <f>+EA42*EB42</f>
        <v>90.160000000000011</v>
      </c>
      <c r="EA42" s="187">
        <v>7</v>
      </c>
      <c r="EB42" s="321">
        <v>12.88</v>
      </c>
      <c r="EC42" s="187">
        <f>+ED42*EE42</f>
        <v>87.68</v>
      </c>
      <c r="ED42" s="187">
        <v>6.4</v>
      </c>
      <c r="EE42" s="321">
        <v>13.7</v>
      </c>
      <c r="EF42" s="187">
        <f>+EI42-EC42-DZ42-DW42</f>
        <v>99.839999999999961</v>
      </c>
      <c r="EG42" s="187">
        <f>+EJ42-ED42-EA42-DX42</f>
        <v>4.6000000000000014</v>
      </c>
      <c r="EH42" s="321">
        <f>+EF42/EG42</f>
        <v>21.704347826086941</v>
      </c>
      <c r="EI42" s="322">
        <f>+EJ42*EK42</f>
        <v>346.32</v>
      </c>
      <c r="EJ42" s="322">
        <v>24</v>
      </c>
      <c r="EK42" s="323">
        <v>14.43</v>
      </c>
      <c r="EL42" s="345">
        <v>43.2</v>
      </c>
      <c r="EM42" s="345">
        <v>2.52</v>
      </c>
      <c r="EN42" s="345">
        <v>5.04</v>
      </c>
      <c r="EO42" s="332">
        <v>1.99</v>
      </c>
      <c r="EP42" s="332">
        <v>2.15</v>
      </c>
      <c r="EQ42" s="332">
        <v>2.88</v>
      </c>
      <c r="ER42" s="332">
        <v>3.04</v>
      </c>
      <c r="ES42" s="332">
        <v>4.0199999999999996</v>
      </c>
      <c r="ET42" s="332">
        <v>5</v>
      </c>
      <c r="EU42" s="332">
        <v>5.04</v>
      </c>
      <c r="EV42" s="332">
        <v>6.05</v>
      </c>
      <c r="EW42" s="332">
        <v>33.35</v>
      </c>
      <c r="EX42" s="332">
        <v>45.46</v>
      </c>
      <c r="EY42" s="332">
        <v>44.85</v>
      </c>
      <c r="EZ42" s="332">
        <v>49.14</v>
      </c>
    </row>
    <row r="43" spans="1:164" ht="26.25" customHeight="1" x14ac:dyDescent="0.3">
      <c r="A43" s="43" t="s">
        <v>308</v>
      </c>
      <c r="B43" s="43" t="s">
        <v>309</v>
      </c>
      <c r="C43" s="1">
        <v>2007</v>
      </c>
      <c r="D43" s="52">
        <v>12.064</v>
      </c>
      <c r="E43" s="52">
        <v>3.0139999999999998</v>
      </c>
      <c r="F43" s="52">
        <v>0</v>
      </c>
      <c r="G43" s="25">
        <f t="shared" si="0"/>
        <v>5.0246666666666666</v>
      </c>
      <c r="H43" s="25">
        <f t="shared" si="1"/>
        <v>30.148</v>
      </c>
      <c r="I43" s="52">
        <v>0</v>
      </c>
      <c r="J43" s="52">
        <v>0</v>
      </c>
      <c r="K43" s="52">
        <v>0</v>
      </c>
      <c r="L43" s="25">
        <f t="shared" ref="L43:L52" si="168">I43/6+J43+K43</f>
        <v>0</v>
      </c>
      <c r="M43" s="25">
        <f t="shared" ref="M43:M52" si="169">I43+J43*6+K43*6</f>
        <v>0</v>
      </c>
      <c r="N43" s="25">
        <f t="shared" ref="N43:N52" si="170">G43+L43</f>
        <v>5.0246666666666666</v>
      </c>
      <c r="O43" s="25">
        <f t="shared" ref="O43:O50" si="171">H43+M43</f>
        <v>30.148</v>
      </c>
      <c r="P43" s="26">
        <f t="shared" ref="P43:P52" si="172">+H43/O43</f>
        <v>1</v>
      </c>
      <c r="Q43" s="26">
        <f t="shared" si="127"/>
        <v>0.40015921454159481</v>
      </c>
      <c r="R43" s="26">
        <f t="shared" ref="R43:R52" si="173">E43/G43</f>
        <v>0.59984078545840513</v>
      </c>
      <c r="S43" s="26">
        <f t="shared" ref="S43:S52" si="174">F43/G43</f>
        <v>0</v>
      </c>
      <c r="T43" s="207">
        <v>25.744</v>
      </c>
      <c r="U43" s="207">
        <v>0</v>
      </c>
      <c r="V43" s="207">
        <v>96.965000000000003</v>
      </c>
      <c r="W43" s="25">
        <f t="shared" ref="W43:W50" si="175">+T43*6+U43*6+V43</f>
        <v>251.429</v>
      </c>
      <c r="X43" s="25"/>
      <c r="Y43" s="25">
        <f>+T43+U43+V43/6</f>
        <v>41.904833333333329</v>
      </c>
      <c r="Z43" s="25"/>
      <c r="AA43" s="25"/>
      <c r="AB43" s="44"/>
      <c r="AC43" s="45">
        <v>-12.022</v>
      </c>
      <c r="AD43" s="45">
        <v>48.750999999999998</v>
      </c>
      <c r="AE43" s="45">
        <v>0.35399999999999998</v>
      </c>
      <c r="AF43" s="45">
        <v>0</v>
      </c>
      <c r="AG43" s="29">
        <f>SUM(AC43:AF43)</f>
        <v>37.082999999999998</v>
      </c>
      <c r="AH43" s="45">
        <v>-1.1910000000000001</v>
      </c>
      <c r="AI43" s="45">
        <v>13.14</v>
      </c>
      <c r="AJ43" s="45">
        <v>0.105</v>
      </c>
      <c r="AK43" s="45">
        <v>0</v>
      </c>
      <c r="AL43" s="29">
        <f t="shared" si="56"/>
        <v>12.054</v>
      </c>
      <c r="AM43" s="45">
        <v>0</v>
      </c>
      <c r="AN43" s="45">
        <v>0</v>
      </c>
      <c r="AO43" s="45">
        <v>0</v>
      </c>
      <c r="AP43" s="45">
        <v>0</v>
      </c>
      <c r="AQ43" s="29">
        <f>SUM(AM43:AP43)</f>
        <v>0</v>
      </c>
      <c r="AR43" s="29">
        <f t="shared" ref="AR43:AR52" si="176">(AG43)+(AL43*6)+AQ43*6</f>
        <v>109.407</v>
      </c>
      <c r="AS43" s="29">
        <f t="shared" ref="AS43:AS52" si="177">AG43/6+AL43+AQ43</f>
        <v>18.234500000000001</v>
      </c>
      <c r="AT43" s="46">
        <v>7.2930000000000001</v>
      </c>
      <c r="AU43" s="46">
        <v>0</v>
      </c>
      <c r="AV43" s="46">
        <f>116.004+0.015</f>
        <v>116.01900000000001</v>
      </c>
      <c r="AW43" s="46">
        <f>64.524-0.315</f>
        <v>64.209000000000003</v>
      </c>
      <c r="AX43" s="50">
        <f t="shared" si="164"/>
        <v>187.52100000000002</v>
      </c>
      <c r="AY43" s="52"/>
      <c r="AZ43" s="52"/>
      <c r="BA43" s="52"/>
      <c r="BB43" s="50"/>
      <c r="BC43" s="50"/>
      <c r="BD43" s="44"/>
      <c r="BE43" s="47"/>
      <c r="BF43" s="48"/>
      <c r="BG43" s="48"/>
      <c r="BH43" s="47"/>
      <c r="BI43" s="48"/>
      <c r="BJ43" s="48"/>
      <c r="BK43" s="47"/>
      <c r="BL43" s="48"/>
      <c r="BM43" s="48"/>
      <c r="BN43" s="47"/>
      <c r="BO43" s="48"/>
      <c r="BP43" s="48"/>
      <c r="BQ43" s="47"/>
      <c r="BR43" s="48">
        <v>0</v>
      </c>
      <c r="BS43" s="48">
        <v>0</v>
      </c>
      <c r="BT43" s="202"/>
      <c r="BU43" s="49"/>
      <c r="BV43" s="50"/>
      <c r="BW43" s="50"/>
      <c r="BX43" s="44"/>
      <c r="BY43" s="91"/>
      <c r="BZ43" s="56"/>
      <c r="CA43" s="141"/>
      <c r="CB43" s="56"/>
      <c r="CC43" s="56"/>
      <c r="CD43" s="56"/>
      <c r="CE43" s="56"/>
      <c r="CF43" s="56"/>
      <c r="CG43" s="56"/>
      <c r="CH43" s="56"/>
      <c r="CI43" s="56"/>
      <c r="CJ43" s="56"/>
      <c r="CK43" s="56"/>
      <c r="CL43" s="51"/>
      <c r="CM43" s="56"/>
      <c r="CN43" s="56"/>
      <c r="CO43" s="173"/>
      <c r="CP43" s="174"/>
      <c r="CQ43" s="328"/>
      <c r="CR43" s="82"/>
      <c r="CS43" s="293"/>
      <c r="CT43" s="227"/>
      <c r="CU43" s="227"/>
      <c r="CV43" s="227"/>
      <c r="CW43" s="227"/>
      <c r="CX43" s="227"/>
      <c r="CY43" s="227"/>
      <c r="CZ43" s="227"/>
      <c r="DA43" s="227"/>
      <c r="DB43" s="227"/>
      <c r="DC43" s="227"/>
      <c r="DD43" s="227"/>
      <c r="DE43" s="275"/>
      <c r="DF43" s="275"/>
      <c r="DG43" s="275"/>
      <c r="DH43" s="226"/>
      <c r="DI43" s="226"/>
      <c r="DJ43" s="226"/>
      <c r="DK43" s="226"/>
      <c r="DL43" s="226"/>
      <c r="DM43" s="226"/>
      <c r="DN43" s="226"/>
      <c r="DO43" s="226"/>
      <c r="DP43" s="226"/>
      <c r="DQ43" s="226"/>
      <c r="DR43" s="226"/>
      <c r="DS43" s="226"/>
      <c r="DT43" s="278"/>
      <c r="DU43" s="278"/>
      <c r="DV43" s="278"/>
      <c r="DW43" s="280"/>
      <c r="DX43" s="280"/>
      <c r="DY43" s="280"/>
      <c r="DZ43" s="280"/>
      <c r="EA43" s="280"/>
      <c r="EB43" s="280"/>
      <c r="EC43" s="280"/>
      <c r="ED43" s="280"/>
      <c r="EE43" s="280"/>
      <c r="EF43" s="280"/>
      <c r="EG43" s="280"/>
      <c r="EH43" s="280"/>
      <c r="EI43" s="283"/>
      <c r="EJ43" s="283"/>
      <c r="EK43" s="294"/>
      <c r="EL43" s="343">
        <v>72.34</v>
      </c>
      <c r="EM43" s="343">
        <v>6.97</v>
      </c>
      <c r="EN43" s="343">
        <v>12.91</v>
      </c>
      <c r="EO43" s="116"/>
      <c r="EP43" s="116"/>
      <c r="EQ43" s="116"/>
      <c r="ER43" s="116"/>
      <c r="ES43" s="116"/>
      <c r="ET43" s="116"/>
      <c r="EU43" s="116"/>
      <c r="EV43" s="116"/>
      <c r="EW43" s="116"/>
      <c r="EX43" s="116"/>
      <c r="EY43" s="116"/>
      <c r="EZ43" s="116"/>
    </row>
    <row r="44" spans="1:164" ht="26.25" customHeight="1" x14ac:dyDescent="0.3">
      <c r="A44" s="43" t="s">
        <v>308</v>
      </c>
      <c r="B44" s="43" t="s">
        <v>309</v>
      </c>
      <c r="C44" s="1">
        <v>2008</v>
      </c>
      <c r="D44" s="52">
        <v>14.968</v>
      </c>
      <c r="E44" s="52">
        <v>4.5860000000000003</v>
      </c>
      <c r="F44" s="52">
        <v>0</v>
      </c>
      <c r="G44" s="25">
        <f t="shared" si="0"/>
        <v>7.0806666666666676</v>
      </c>
      <c r="H44" s="25">
        <f t="shared" si="1"/>
        <v>42.484000000000002</v>
      </c>
      <c r="I44" s="52">
        <v>0</v>
      </c>
      <c r="J44" s="52">
        <v>0</v>
      </c>
      <c r="K44" s="52">
        <v>0</v>
      </c>
      <c r="L44" s="25">
        <f t="shared" si="168"/>
        <v>0</v>
      </c>
      <c r="M44" s="25">
        <f t="shared" si="169"/>
        <v>0</v>
      </c>
      <c r="N44" s="25">
        <f t="shared" si="170"/>
        <v>7.0806666666666676</v>
      </c>
      <c r="O44" s="25">
        <f t="shared" si="171"/>
        <v>42.484000000000002</v>
      </c>
      <c r="P44" s="26">
        <f t="shared" si="172"/>
        <v>1</v>
      </c>
      <c r="Q44" s="26">
        <f t="shared" si="127"/>
        <v>0.35232087374070237</v>
      </c>
      <c r="R44" s="26">
        <f t="shared" si="173"/>
        <v>0.64767912625929758</v>
      </c>
      <c r="S44" s="26">
        <f t="shared" si="174"/>
        <v>0</v>
      </c>
      <c r="T44" s="207">
        <v>39.624000000000002</v>
      </c>
      <c r="U44" s="207">
        <v>0</v>
      </c>
      <c r="V44" s="207">
        <v>126.824</v>
      </c>
      <c r="W44" s="25">
        <f t="shared" si="175"/>
        <v>364.56800000000004</v>
      </c>
      <c r="X44" s="25">
        <f t="shared" ref="X44:X51" si="178">W44-W43</f>
        <v>113.13900000000004</v>
      </c>
      <c r="Y44" s="25">
        <f t="shared" ref="Y44:Y51" si="179">+T44+U44+V44/6</f>
        <v>60.76133333333334</v>
      </c>
      <c r="Z44" s="25">
        <f>Y44-Y43</f>
        <v>18.856500000000011</v>
      </c>
      <c r="AA44" s="204">
        <f>+Z44/Y43</f>
        <v>0.44998389207291156</v>
      </c>
      <c r="AB44" s="44"/>
      <c r="AC44" s="45">
        <v>-34.323</v>
      </c>
      <c r="AD44" s="45">
        <v>73.38</v>
      </c>
      <c r="AE44" s="45">
        <v>56.021999999999998</v>
      </c>
      <c r="AF44" s="45">
        <v>0</v>
      </c>
      <c r="AG44" s="29">
        <f t="shared" si="17"/>
        <v>95.078999999999994</v>
      </c>
      <c r="AH44" s="45">
        <v>-7.5209999999999999</v>
      </c>
      <c r="AI44" s="45">
        <v>24.193999999999999</v>
      </c>
      <c r="AJ44" s="45">
        <v>20.837</v>
      </c>
      <c r="AK44" s="45">
        <v>0</v>
      </c>
      <c r="AL44" s="29">
        <f t="shared" ref="AL44:AL49" si="180">SUM(AH44:AK44)</f>
        <v>37.51</v>
      </c>
      <c r="AM44" s="45">
        <v>0</v>
      </c>
      <c r="AN44" s="45">
        <v>0</v>
      </c>
      <c r="AO44" s="45">
        <v>0</v>
      </c>
      <c r="AP44" s="45">
        <v>0</v>
      </c>
      <c r="AQ44" s="29">
        <f t="shared" ref="AQ44:AQ49" si="181">SUM(AM44:AP44)</f>
        <v>0</v>
      </c>
      <c r="AR44" s="29">
        <f t="shared" si="176"/>
        <v>320.13900000000001</v>
      </c>
      <c r="AS44" s="29">
        <f t="shared" si="177"/>
        <v>53.356499999999997</v>
      </c>
      <c r="AT44" s="46">
        <v>240.29400000000001</v>
      </c>
      <c r="AU44" s="46">
        <f>597.713-7.062</f>
        <v>590.65099999999995</v>
      </c>
      <c r="AV44" s="46">
        <f>160.174-0.563</f>
        <v>159.61100000000002</v>
      </c>
      <c r="AW44" s="46">
        <f>178.842+1.123</f>
        <v>179.965</v>
      </c>
      <c r="AX44" s="50">
        <f t="shared" si="164"/>
        <v>1170.521</v>
      </c>
      <c r="AY44" s="52"/>
      <c r="AZ44" s="52"/>
      <c r="BA44" s="52"/>
      <c r="BB44" s="50"/>
      <c r="BC44" s="50"/>
      <c r="BD44" s="44"/>
      <c r="BE44" s="47"/>
      <c r="BF44" s="48"/>
      <c r="BG44" s="48"/>
      <c r="BH44" s="47"/>
      <c r="BI44" s="48"/>
      <c r="BJ44" s="48"/>
      <c r="BK44" s="47"/>
      <c r="BL44" s="48"/>
      <c r="BM44" s="48"/>
      <c r="BN44" s="47"/>
      <c r="BO44" s="48"/>
      <c r="BP44" s="48"/>
      <c r="BQ44" s="47"/>
      <c r="BR44" s="48">
        <v>0</v>
      </c>
      <c r="BS44" s="48">
        <v>0</v>
      </c>
      <c r="BT44" s="202"/>
      <c r="BU44" s="49"/>
      <c r="BV44" s="50"/>
      <c r="BW44" s="50"/>
      <c r="BX44" s="44"/>
      <c r="BY44" s="91"/>
      <c r="BZ44" s="56"/>
      <c r="CA44" s="141"/>
      <c r="CB44" s="56"/>
      <c r="CC44" s="56"/>
      <c r="CD44" s="56"/>
      <c r="CE44" s="56"/>
      <c r="CF44" s="56"/>
      <c r="CG44" s="56"/>
      <c r="CH44" s="56"/>
      <c r="CI44" s="56"/>
      <c r="CJ44" s="56"/>
      <c r="CK44" s="56"/>
      <c r="CL44" s="51"/>
      <c r="CM44" s="56"/>
      <c r="CN44" s="56"/>
      <c r="CO44" s="173"/>
      <c r="CP44" s="174"/>
      <c r="CQ44" s="328"/>
      <c r="CR44" s="82"/>
      <c r="CS44" s="271"/>
      <c r="CT44" s="133"/>
      <c r="CU44" s="133"/>
      <c r="CV44" s="133"/>
      <c r="CW44" s="133"/>
      <c r="CX44" s="133"/>
      <c r="CY44" s="133"/>
      <c r="CZ44" s="133"/>
      <c r="DA44" s="133"/>
      <c r="DB44" s="133"/>
      <c r="DC44" s="133"/>
      <c r="DD44" s="133"/>
      <c r="DE44" s="273"/>
      <c r="DF44" s="273"/>
      <c r="DG44" s="273"/>
      <c r="DH44" s="132"/>
      <c r="DI44" s="132"/>
      <c r="DJ44" s="132"/>
      <c r="DK44" s="132"/>
      <c r="DL44" s="132"/>
      <c r="DM44" s="132"/>
      <c r="DN44" s="132"/>
      <c r="DO44" s="132"/>
      <c r="DP44" s="132"/>
      <c r="DQ44" s="132"/>
      <c r="DR44" s="132"/>
      <c r="DS44" s="132"/>
      <c r="DT44" s="276"/>
      <c r="DU44" s="276"/>
      <c r="DV44" s="276"/>
      <c r="DW44" s="279"/>
      <c r="DX44" s="279"/>
      <c r="DY44" s="279"/>
      <c r="DZ44" s="279"/>
      <c r="EA44" s="279"/>
      <c r="EB44" s="279"/>
      <c r="EC44" s="279"/>
      <c r="ED44" s="279"/>
      <c r="EE44" s="279"/>
      <c r="EF44" s="279"/>
      <c r="EG44" s="279"/>
      <c r="EH44" s="279"/>
      <c r="EI44" s="281"/>
      <c r="EJ44" s="281"/>
      <c r="EK44" s="295"/>
      <c r="EL44" s="343">
        <v>99.67</v>
      </c>
      <c r="EM44" s="343">
        <v>8.86</v>
      </c>
      <c r="EN44" s="343">
        <v>15.2</v>
      </c>
      <c r="EO44" s="116"/>
      <c r="EP44" s="116"/>
      <c r="EQ44" s="116"/>
      <c r="ER44" s="116"/>
      <c r="ES44" s="116"/>
      <c r="ET44" s="116"/>
      <c r="EU44" s="116"/>
      <c r="EV44" s="116"/>
      <c r="EW44" s="116"/>
      <c r="EX44" s="116"/>
      <c r="EY44" s="116"/>
      <c r="EZ44" s="116"/>
    </row>
    <row r="45" spans="1:164" ht="26.25" customHeight="1" x14ac:dyDescent="0.3">
      <c r="A45" s="43" t="s">
        <v>308</v>
      </c>
      <c r="B45" s="43" t="s">
        <v>309</v>
      </c>
      <c r="C45" s="1">
        <v>2009</v>
      </c>
      <c r="D45" s="52">
        <v>21.568000000000001</v>
      </c>
      <c r="E45" s="52">
        <v>7.3360000000000003</v>
      </c>
      <c r="F45" s="52">
        <v>0</v>
      </c>
      <c r="G45" s="25">
        <f t="shared" si="0"/>
        <v>10.930666666666667</v>
      </c>
      <c r="H45" s="25">
        <f t="shared" si="1"/>
        <v>65.584000000000003</v>
      </c>
      <c r="I45" s="52">
        <v>0</v>
      </c>
      <c r="J45" s="52">
        <v>0</v>
      </c>
      <c r="K45" s="52">
        <v>0</v>
      </c>
      <c r="L45" s="25">
        <f t="shared" si="168"/>
        <v>0</v>
      </c>
      <c r="M45" s="25">
        <f t="shared" si="169"/>
        <v>0</v>
      </c>
      <c r="N45" s="25">
        <f t="shared" si="170"/>
        <v>10.930666666666667</v>
      </c>
      <c r="O45" s="25">
        <f t="shared" si="171"/>
        <v>65.584000000000003</v>
      </c>
      <c r="P45" s="26">
        <f t="shared" si="172"/>
        <v>1</v>
      </c>
      <c r="Q45" s="26">
        <f t="shared" si="127"/>
        <v>0.32886069773115395</v>
      </c>
      <c r="R45" s="26">
        <f t="shared" si="173"/>
        <v>0.67113930226884611</v>
      </c>
      <c r="S45" s="26">
        <f t="shared" si="174"/>
        <v>0</v>
      </c>
      <c r="T45" s="207">
        <v>75.44</v>
      </c>
      <c r="U45" s="207">
        <v>0</v>
      </c>
      <c r="V45" s="207">
        <v>194.13499999999999</v>
      </c>
      <c r="W45" s="25">
        <f t="shared" si="175"/>
        <v>646.77499999999998</v>
      </c>
      <c r="X45" s="25">
        <f t="shared" si="178"/>
        <v>282.20699999999994</v>
      </c>
      <c r="Y45" s="25">
        <f t="shared" si="179"/>
        <v>107.79583333333332</v>
      </c>
      <c r="Z45" s="25">
        <f t="shared" ref="Z45:Z51" si="182">Y45-Y44</f>
        <v>47.03449999999998</v>
      </c>
      <c r="AA45" s="204">
        <f>+Z45/Y44</f>
        <v>0.77408604156151894</v>
      </c>
      <c r="AB45" s="44"/>
      <c r="AC45" s="45">
        <v>-14.4</v>
      </c>
      <c r="AD45" s="45">
        <v>109.15</v>
      </c>
      <c r="AE45" s="45">
        <v>38.095999999999997</v>
      </c>
      <c r="AF45" s="45">
        <v>0</v>
      </c>
      <c r="AG45" s="29">
        <f t="shared" si="17"/>
        <v>132.846</v>
      </c>
      <c r="AH45" s="45">
        <v>1.421</v>
      </c>
      <c r="AI45" s="45">
        <v>47.75</v>
      </c>
      <c r="AJ45" s="45">
        <v>13.916</v>
      </c>
      <c r="AK45" s="45">
        <v>0</v>
      </c>
      <c r="AL45" s="29">
        <f t="shared" si="180"/>
        <v>63.087000000000003</v>
      </c>
      <c r="AM45" s="45">
        <v>0</v>
      </c>
      <c r="AN45" s="45">
        <v>0</v>
      </c>
      <c r="AO45" s="45">
        <v>0</v>
      </c>
      <c r="AP45" s="45">
        <v>0</v>
      </c>
      <c r="AQ45" s="29">
        <f t="shared" si="181"/>
        <v>0</v>
      </c>
      <c r="AR45" s="29">
        <f t="shared" si="176"/>
        <v>511.36800000000005</v>
      </c>
      <c r="AS45" s="29">
        <f t="shared" si="177"/>
        <v>85.228000000000009</v>
      </c>
      <c r="AT45" s="46">
        <v>74.691999999999993</v>
      </c>
      <c r="AU45" s="46">
        <f>205.817-0.488</f>
        <v>205.32900000000001</v>
      </c>
      <c r="AV45" s="46">
        <f>134.105-0.452</f>
        <v>133.65299999999999</v>
      </c>
      <c r="AW45" s="46">
        <f>265.731-5.425</f>
        <v>260.30599999999998</v>
      </c>
      <c r="AX45" s="50">
        <f t="shared" si="164"/>
        <v>673.98</v>
      </c>
      <c r="AY45" s="25">
        <f t="shared" ref="AY45:AY50" si="183">SUM(AX43:AX45)</f>
        <v>2032.0219999999999</v>
      </c>
      <c r="AZ45" s="25">
        <f t="shared" ref="AZ45:AZ51" si="184">SUM(AS43:AS45)</f>
        <v>156.81900000000002</v>
      </c>
      <c r="BA45" s="25">
        <f t="shared" ref="BA45:BA51" si="185">SUM(AR43:AR45)</f>
        <v>940.91399999999999</v>
      </c>
      <c r="BB45" s="31">
        <f t="shared" ref="BB45:BB50" si="186">AY45/AZ45</f>
        <v>12.957753843603133</v>
      </c>
      <c r="BC45" s="31">
        <f t="shared" ref="BC45:BC50" si="187">AY45/BA45</f>
        <v>2.1596256406005225</v>
      </c>
      <c r="BD45" s="44"/>
      <c r="BE45" s="47">
        <f>97.667-BN45</f>
        <v>56.048000000000002</v>
      </c>
      <c r="BF45" s="48"/>
      <c r="BG45" s="48">
        <v>53.162999999999997</v>
      </c>
      <c r="BH45" s="32">
        <f t="shared" ref="BH45:BH52" si="188">IF(BG45=0,BF45*$BT45,BG45)</f>
        <v>53.162999999999997</v>
      </c>
      <c r="BI45" s="48"/>
      <c r="BJ45" s="48">
        <v>7.2990000000000004</v>
      </c>
      <c r="BK45" s="32">
        <f>IF(BJ45=0,BI45*$BT45,BJ45)</f>
        <v>7.2990000000000004</v>
      </c>
      <c r="BL45" s="48"/>
      <c r="BM45" s="48">
        <f>4.912+36.707</f>
        <v>41.619</v>
      </c>
      <c r="BN45" s="32">
        <f t="shared" ref="BN45:BN52" si="189">IF(BM45=0,BL45*$BT45,BM45)</f>
        <v>41.619</v>
      </c>
      <c r="BO45" s="48"/>
      <c r="BP45" s="48">
        <v>14.862</v>
      </c>
      <c r="BQ45" s="32">
        <f>IF(BP45=0,BO45*$BT45,BP45)</f>
        <v>14.862</v>
      </c>
      <c r="BR45" s="48">
        <v>510.767</v>
      </c>
      <c r="BS45" s="48">
        <v>510.767</v>
      </c>
      <c r="BT45" s="201">
        <f t="shared" ref="BT45:BT51" si="190">+P45*BR45/BS45</f>
        <v>1</v>
      </c>
      <c r="BU45" s="35">
        <f t="shared" ref="BU45:BU51" si="191">BQ45+BN45+BK45+BH45+BE45</f>
        <v>172.99099999999999</v>
      </c>
      <c r="BV45" s="31">
        <f t="shared" ref="BV45:BV51" si="192">BU45/G45</f>
        <v>15.826207611612586</v>
      </c>
      <c r="BW45" s="31">
        <f t="shared" ref="BW45:BW51" si="193">BU45/H45</f>
        <v>2.6377012686020977</v>
      </c>
      <c r="BX45" s="44"/>
      <c r="BY45" s="90">
        <f t="shared" ref="BY45:BY51" si="194">BU45+AX45</f>
        <v>846.971</v>
      </c>
      <c r="BZ45" s="38">
        <f t="shared" ref="BZ45:BZ50" si="195">(BY45*0.1)</f>
        <v>84.697100000000006</v>
      </c>
      <c r="CA45" s="140">
        <f t="shared" ref="CA45:CA51" si="196">+BZ45/AX45</f>
        <v>0.12566708210926142</v>
      </c>
      <c r="CB45" s="38">
        <f t="shared" ref="CB45:CB51" si="197">BZ45/G45</f>
        <v>7.7485758721639426</v>
      </c>
      <c r="CC45" s="38">
        <f t="shared" ref="CC45:CC51" si="198">BZ45/H45</f>
        <v>1.2914293120273237</v>
      </c>
      <c r="CD45" s="38">
        <f t="shared" ref="CD45:CD51" si="199">+$AX45/G45</f>
        <v>61.659551110026833</v>
      </c>
      <c r="CE45" s="38">
        <f t="shared" ref="CE45:CE51" si="200">+$AX45/H45</f>
        <v>10.276591851671139</v>
      </c>
      <c r="CF45" s="38">
        <f t="shared" ref="CF45:CF51" si="201">BB45+BV45</f>
        <v>28.783961455215717</v>
      </c>
      <c r="CG45" s="38">
        <f t="shared" ref="CG45:CG50" si="202">CB45+CF45</f>
        <v>36.532537327379657</v>
      </c>
      <c r="CH45" s="38">
        <f t="shared" ref="CH45:CH50" si="203">CF45+CD45</f>
        <v>90.443512565242543</v>
      </c>
      <c r="CI45" s="38">
        <f t="shared" ref="CI45:CI51" si="204">+BC45+BW45</f>
        <v>4.7973269092026207</v>
      </c>
      <c r="CJ45" s="38">
        <f t="shared" ref="CJ45:CJ50" si="205">+CI45+CC45</f>
        <v>6.0887562212299446</v>
      </c>
      <c r="CK45" s="38">
        <f t="shared" ref="CK45:CK50" si="206">+CI45+CE45</f>
        <v>15.073918760873759</v>
      </c>
      <c r="CL45" s="37">
        <v>4</v>
      </c>
      <c r="CM45" s="38">
        <f t="shared" ref="CM45:CM51" si="207">+CF45/10</f>
        <v>2.8783961455215716</v>
      </c>
      <c r="CN45" s="38">
        <f t="shared" ref="CN45:CN51" si="208">+CM45*G45</f>
        <v>31.46278880131446</v>
      </c>
      <c r="CO45" s="145">
        <f t="shared" ref="CO45:CO51" si="209">+CN45/AX45</f>
        <v>4.6682080775860502E-2</v>
      </c>
      <c r="CP45" s="330">
        <v>8.6679999999999993</v>
      </c>
      <c r="CQ45" s="330"/>
      <c r="CR45" s="225"/>
      <c r="CS45" s="271"/>
      <c r="CT45" s="133"/>
      <c r="CU45" s="133"/>
      <c r="CV45" s="133"/>
      <c r="CW45" s="133"/>
      <c r="CX45" s="133"/>
      <c r="CY45" s="133"/>
      <c r="CZ45" s="133"/>
      <c r="DA45" s="133"/>
      <c r="DB45" s="133"/>
      <c r="DC45" s="133"/>
      <c r="DD45" s="133"/>
      <c r="DE45" s="273"/>
      <c r="DF45" s="273"/>
      <c r="DG45" s="273"/>
      <c r="DH45" s="132"/>
      <c r="DI45" s="132"/>
      <c r="DJ45" s="132"/>
      <c r="DK45" s="132"/>
      <c r="DL45" s="132"/>
      <c r="DM45" s="132"/>
      <c r="DN45" s="132"/>
      <c r="DO45" s="132"/>
      <c r="DP45" s="132"/>
      <c r="DQ45" s="132"/>
      <c r="DR45" s="132"/>
      <c r="DS45" s="132"/>
      <c r="DT45" s="276"/>
      <c r="DU45" s="276"/>
      <c r="DV45" s="276"/>
      <c r="DW45" s="279"/>
      <c r="DX45" s="279"/>
      <c r="DY45" s="279"/>
      <c r="DZ45" s="279"/>
      <c r="EA45" s="279"/>
      <c r="EB45" s="279"/>
      <c r="EC45" s="279"/>
      <c r="ED45" s="279"/>
      <c r="EE45" s="279"/>
      <c r="EF45" s="279"/>
      <c r="EG45" s="279"/>
      <c r="EH45" s="279"/>
      <c r="EI45" s="281"/>
      <c r="EJ45" s="281"/>
      <c r="EK45" s="295"/>
      <c r="EL45" s="343">
        <v>61.95</v>
      </c>
      <c r="EM45" s="343">
        <v>3.94</v>
      </c>
      <c r="EN45" s="343">
        <v>8.99</v>
      </c>
      <c r="EO45" s="116"/>
      <c r="EP45" s="116"/>
      <c r="EQ45" s="116"/>
      <c r="ER45" s="116"/>
      <c r="ES45" s="116"/>
      <c r="ET45" s="116"/>
      <c r="EU45" s="116"/>
      <c r="EV45" s="116"/>
      <c r="EW45" s="116"/>
      <c r="EX45" s="116"/>
      <c r="EY45" s="116"/>
      <c r="EZ45" s="116"/>
    </row>
    <row r="46" spans="1:164" ht="26.25" customHeight="1" x14ac:dyDescent="0.3">
      <c r="A46" s="43" t="s">
        <v>308</v>
      </c>
      <c r="B46" s="43" t="s">
        <v>309</v>
      </c>
      <c r="C46" s="1">
        <v>2010</v>
      </c>
      <c r="D46" s="52">
        <v>31.405000000000001</v>
      </c>
      <c r="E46" s="52">
        <v>10.33</v>
      </c>
      <c r="F46" s="52">
        <v>0</v>
      </c>
      <c r="G46" s="25">
        <f>D46/6+E46+F46</f>
        <v>15.564166666666667</v>
      </c>
      <c r="H46" s="25">
        <f t="shared" si="1"/>
        <v>93.385000000000005</v>
      </c>
      <c r="I46" s="52">
        <v>0</v>
      </c>
      <c r="J46" s="52">
        <v>0</v>
      </c>
      <c r="K46" s="52">
        <v>0</v>
      </c>
      <c r="L46" s="25">
        <f t="shared" si="168"/>
        <v>0</v>
      </c>
      <c r="M46" s="25">
        <f t="shared" si="169"/>
        <v>0</v>
      </c>
      <c r="N46" s="25">
        <f t="shared" si="170"/>
        <v>15.564166666666667</v>
      </c>
      <c r="O46" s="25">
        <f t="shared" si="171"/>
        <v>93.385000000000005</v>
      </c>
      <c r="P46" s="26">
        <f t="shared" si="172"/>
        <v>1</v>
      </c>
      <c r="Q46" s="26">
        <f t="shared" si="127"/>
        <v>0.33629597901161856</v>
      </c>
      <c r="R46" s="26">
        <f t="shared" si="173"/>
        <v>0.66370402098838144</v>
      </c>
      <c r="S46" s="26">
        <f t="shared" si="174"/>
        <v>0</v>
      </c>
      <c r="T46" s="207">
        <v>95.983999999999995</v>
      </c>
      <c r="U46" s="207">
        <v>0</v>
      </c>
      <c r="V46" s="207">
        <v>257.68299999999999</v>
      </c>
      <c r="W46" s="25">
        <f t="shared" si="175"/>
        <v>833.58699999999999</v>
      </c>
      <c r="X46" s="25">
        <f t="shared" si="178"/>
        <v>186.81200000000001</v>
      </c>
      <c r="Y46" s="25">
        <f t="shared" si="179"/>
        <v>138.93116666666666</v>
      </c>
      <c r="Z46" s="25">
        <f t="shared" si="182"/>
        <v>31.135333333333335</v>
      </c>
      <c r="AA46" s="204">
        <f t="shared" ref="AA46:AA51" si="210">+Z46/Y45</f>
        <v>0.28883614858335593</v>
      </c>
      <c r="AB46" s="44"/>
      <c r="AC46" s="45">
        <v>5.7249999999999996</v>
      </c>
      <c r="AD46" s="45">
        <v>110.923</v>
      </c>
      <c r="AE46" s="45">
        <v>188.422</v>
      </c>
      <c r="AF46" s="45">
        <v>0</v>
      </c>
      <c r="AG46" s="29">
        <f t="shared" si="17"/>
        <v>305.07</v>
      </c>
      <c r="AH46" s="234">
        <v>-1.8420000000000001</v>
      </c>
      <c r="AI46" s="45">
        <v>41.151000000000003</v>
      </c>
      <c r="AJ46" s="45">
        <v>43.363999999999997</v>
      </c>
      <c r="AK46" s="45">
        <v>0</v>
      </c>
      <c r="AL46" s="29">
        <f t="shared" si="180"/>
        <v>82.673000000000002</v>
      </c>
      <c r="AM46" s="45">
        <v>0</v>
      </c>
      <c r="AN46" s="45">
        <v>0</v>
      </c>
      <c r="AO46" s="45">
        <v>0</v>
      </c>
      <c r="AP46" s="45">
        <v>0</v>
      </c>
      <c r="AQ46" s="29">
        <f t="shared" si="181"/>
        <v>0</v>
      </c>
      <c r="AR46" s="29">
        <f t="shared" si="176"/>
        <v>801.10799999999995</v>
      </c>
      <c r="AS46" s="29">
        <f t="shared" si="177"/>
        <v>133.518</v>
      </c>
      <c r="AT46" s="46">
        <v>475.68799999999999</v>
      </c>
      <c r="AU46" s="46">
        <f>1224.378-8.29</f>
        <v>1216.088</v>
      </c>
      <c r="AV46" s="46">
        <f>200.797-0.784</f>
        <v>200.01300000000001</v>
      </c>
      <c r="AW46" s="46">
        <f>492.622-13.611</f>
        <v>479.01100000000002</v>
      </c>
      <c r="AX46" s="50">
        <f t="shared" si="164"/>
        <v>2370.7999999999997</v>
      </c>
      <c r="AY46" s="25">
        <f t="shared" si="183"/>
        <v>4215.3009999999995</v>
      </c>
      <c r="AZ46" s="25">
        <f t="shared" si="184"/>
        <v>272.10249999999996</v>
      </c>
      <c r="BA46" s="25">
        <f t="shared" si="185"/>
        <v>1632.615</v>
      </c>
      <c r="BB46" s="31">
        <f t="shared" si="186"/>
        <v>15.491592322746024</v>
      </c>
      <c r="BC46" s="31">
        <f t="shared" si="187"/>
        <v>2.5819320537910038</v>
      </c>
      <c r="BD46" s="44"/>
      <c r="BE46" s="47">
        <f>166.409-BN46</f>
        <v>86.533999999999992</v>
      </c>
      <c r="BF46" s="48"/>
      <c r="BG46" s="48">
        <v>94.275000000000006</v>
      </c>
      <c r="BH46" s="32">
        <f t="shared" si="188"/>
        <v>94.275000000000006</v>
      </c>
      <c r="BI46" s="48"/>
      <c r="BJ46" s="48">
        <v>19.885000000000002</v>
      </c>
      <c r="BK46" s="32">
        <f t="shared" ref="BK46:BK51" si="211">IF(BJ46=0,BI46*$BT46,BJ46)</f>
        <v>19.885000000000002</v>
      </c>
      <c r="BL46" s="48"/>
      <c r="BM46" s="48">
        <f>8.708+71.167</f>
        <v>79.875</v>
      </c>
      <c r="BN46" s="32">
        <f t="shared" si="189"/>
        <v>79.875</v>
      </c>
      <c r="BO46" s="48"/>
      <c r="BP46" s="48">
        <v>48.052</v>
      </c>
      <c r="BQ46" s="32">
        <f t="shared" ref="BQ46:BQ51" si="212">IF(BP46=0,BO46*$BT46,BP46)</f>
        <v>48.052</v>
      </c>
      <c r="BR46" s="48">
        <v>940.26700000000005</v>
      </c>
      <c r="BS46" s="48">
        <v>940.26700000000005</v>
      </c>
      <c r="BT46" s="201">
        <f t="shared" si="190"/>
        <v>1</v>
      </c>
      <c r="BU46" s="35">
        <f t="shared" si="191"/>
        <v>328.62099999999998</v>
      </c>
      <c r="BV46" s="31">
        <f t="shared" si="192"/>
        <v>21.113947636129996</v>
      </c>
      <c r="BW46" s="31">
        <f t="shared" si="193"/>
        <v>3.518991272688333</v>
      </c>
      <c r="BX46" s="44"/>
      <c r="BY46" s="90">
        <f t="shared" si="194"/>
        <v>2699.4209999999998</v>
      </c>
      <c r="BZ46" s="38">
        <f t="shared" si="195"/>
        <v>269.94209999999998</v>
      </c>
      <c r="CA46" s="140">
        <f t="shared" si="196"/>
        <v>0.11386118609751983</v>
      </c>
      <c r="CB46" s="38">
        <f t="shared" si="197"/>
        <v>17.343819671253414</v>
      </c>
      <c r="CC46" s="38">
        <f t="shared" si="198"/>
        <v>2.8906366118755686</v>
      </c>
      <c r="CD46" s="38">
        <f t="shared" si="199"/>
        <v>152.3242490764041</v>
      </c>
      <c r="CE46" s="38">
        <f t="shared" si="200"/>
        <v>25.387374846067353</v>
      </c>
      <c r="CF46" s="38">
        <f t="shared" si="201"/>
        <v>36.605539958876022</v>
      </c>
      <c r="CG46" s="38">
        <f t="shared" si="202"/>
        <v>53.949359630129436</v>
      </c>
      <c r="CH46" s="38">
        <f t="shared" si="203"/>
        <v>188.92978903528012</v>
      </c>
      <c r="CI46" s="38">
        <f t="shared" si="204"/>
        <v>6.1009233264793368</v>
      </c>
      <c r="CJ46" s="38">
        <f t="shared" si="205"/>
        <v>8.9915599383549054</v>
      </c>
      <c r="CK46" s="38">
        <f t="shared" si="206"/>
        <v>31.488298172546688</v>
      </c>
      <c r="CL46" s="37">
        <v>4</v>
      </c>
      <c r="CM46" s="38">
        <f t="shared" si="207"/>
        <v>3.6605539958876023</v>
      </c>
      <c r="CN46" s="38">
        <f t="shared" si="208"/>
        <v>56.973472484327289</v>
      </c>
      <c r="CO46" s="145">
        <f t="shared" si="209"/>
        <v>2.4031328026120843E-2</v>
      </c>
      <c r="CP46" s="327">
        <v>46.826000000000001</v>
      </c>
      <c r="CQ46" s="327"/>
      <c r="CR46" s="225"/>
      <c r="CS46" s="271"/>
      <c r="CT46" s="133"/>
      <c r="CU46" s="133"/>
      <c r="CV46" s="133"/>
      <c r="CW46" s="133"/>
      <c r="CX46" s="133"/>
      <c r="CY46" s="133"/>
      <c r="CZ46" s="133"/>
      <c r="DA46" s="133"/>
      <c r="DB46" s="133"/>
      <c r="DC46" s="133"/>
      <c r="DD46" s="133"/>
      <c r="DE46" s="273"/>
      <c r="DF46" s="273"/>
      <c r="DG46" s="273"/>
      <c r="DH46" s="132"/>
      <c r="DI46" s="132"/>
      <c r="DJ46" s="132"/>
      <c r="DK46" s="132"/>
      <c r="DL46" s="132"/>
      <c r="DM46" s="132"/>
      <c r="DN46" s="132"/>
      <c r="DO46" s="132"/>
      <c r="DP46" s="132"/>
      <c r="DQ46" s="132"/>
      <c r="DR46" s="132"/>
      <c r="DS46" s="132"/>
      <c r="DT46" s="276"/>
      <c r="DU46" s="276"/>
      <c r="DV46" s="276"/>
      <c r="DW46" s="279"/>
      <c r="DX46" s="279"/>
      <c r="DY46" s="279"/>
      <c r="DZ46" s="279"/>
      <c r="EA46" s="279"/>
      <c r="EB46" s="279"/>
      <c r="EC46" s="279"/>
      <c r="ED46" s="279"/>
      <c r="EE46" s="279"/>
      <c r="EF46" s="279"/>
      <c r="EG46" s="279"/>
      <c r="EH46" s="279"/>
      <c r="EI46" s="281"/>
      <c r="EJ46" s="281"/>
      <c r="EK46" s="295"/>
      <c r="EL46" s="343">
        <v>79.48</v>
      </c>
      <c r="EM46" s="343">
        <v>4.37</v>
      </c>
      <c r="EN46" s="343">
        <v>11.83</v>
      </c>
      <c r="EO46" s="116"/>
      <c r="EP46" s="116"/>
      <c r="EQ46" s="116"/>
      <c r="ER46" s="116"/>
      <c r="ES46" s="116"/>
      <c r="ET46" s="116"/>
      <c r="EU46" s="116"/>
      <c r="EV46" s="116"/>
      <c r="EW46" s="116"/>
      <c r="EX46" s="116"/>
      <c r="EY46" s="116"/>
      <c r="EZ46" s="116"/>
    </row>
    <row r="47" spans="1:164" ht="26.25" customHeight="1" x14ac:dyDescent="0.3">
      <c r="A47" s="43" t="s">
        <v>308</v>
      </c>
      <c r="B47" s="43" t="s">
        <v>309</v>
      </c>
      <c r="C47" s="1">
        <v>2011</v>
      </c>
      <c r="D47" s="52">
        <v>53.713999999999999</v>
      </c>
      <c r="E47" s="52">
        <v>14.692</v>
      </c>
      <c r="F47" s="52">
        <v>0</v>
      </c>
      <c r="G47" s="25">
        <f>D47/6+E47+F47</f>
        <v>23.644333333333336</v>
      </c>
      <c r="H47" s="25">
        <f t="shared" si="1"/>
        <v>141.86599999999999</v>
      </c>
      <c r="I47" s="52">
        <v>0</v>
      </c>
      <c r="J47" s="52">
        <v>0</v>
      </c>
      <c r="K47" s="52">
        <v>0</v>
      </c>
      <c r="L47" s="25">
        <f t="shared" si="168"/>
        <v>0</v>
      </c>
      <c r="M47" s="25">
        <f t="shared" si="169"/>
        <v>0</v>
      </c>
      <c r="N47" s="25">
        <f t="shared" si="170"/>
        <v>23.644333333333336</v>
      </c>
      <c r="O47" s="25">
        <f t="shared" si="171"/>
        <v>141.86599999999999</v>
      </c>
      <c r="P47" s="26">
        <f t="shared" si="172"/>
        <v>1</v>
      </c>
      <c r="Q47" s="26">
        <f t="shared" si="127"/>
        <v>0.37862489955309941</v>
      </c>
      <c r="R47" s="26">
        <f t="shared" si="173"/>
        <v>0.62137510044690059</v>
      </c>
      <c r="S47" s="26">
        <f t="shared" si="174"/>
        <v>0</v>
      </c>
      <c r="T47" s="207">
        <v>94.384</v>
      </c>
      <c r="U47" s="207">
        <v>0</v>
      </c>
      <c r="V47" s="207">
        <v>337.24900000000002</v>
      </c>
      <c r="W47" s="25">
        <f t="shared" si="175"/>
        <v>903.553</v>
      </c>
      <c r="X47" s="25">
        <f t="shared" si="178"/>
        <v>69.966000000000008</v>
      </c>
      <c r="Y47" s="25">
        <f t="shared" si="179"/>
        <v>150.59216666666669</v>
      </c>
      <c r="Z47" s="25">
        <f t="shared" si="182"/>
        <v>11.66100000000003</v>
      </c>
      <c r="AA47" s="204">
        <f t="shared" si="210"/>
        <v>8.3933650596758572E-2</v>
      </c>
      <c r="AB47" s="44"/>
      <c r="AC47" s="45">
        <v>35.966999999999999</v>
      </c>
      <c r="AD47" s="45">
        <v>209.827</v>
      </c>
      <c r="AE47" s="45">
        <v>35.691000000000003</v>
      </c>
      <c r="AF47" s="45">
        <v>0</v>
      </c>
      <c r="AG47" s="29">
        <f t="shared" si="17"/>
        <v>281.48500000000001</v>
      </c>
      <c r="AH47" s="234">
        <v>-9.9920000000000009</v>
      </c>
      <c r="AI47" s="45">
        <v>51.517000000000003</v>
      </c>
      <c r="AJ47" s="45">
        <v>6.6310000000000002</v>
      </c>
      <c r="AK47" s="45">
        <v>0</v>
      </c>
      <c r="AL47" s="29">
        <f t="shared" si="180"/>
        <v>48.156000000000006</v>
      </c>
      <c r="AM47" s="45">
        <v>0</v>
      </c>
      <c r="AN47" s="45">
        <v>0</v>
      </c>
      <c r="AO47" s="45">
        <v>0</v>
      </c>
      <c r="AP47" s="45">
        <v>0</v>
      </c>
      <c r="AQ47" s="29">
        <f t="shared" si="181"/>
        <v>0</v>
      </c>
      <c r="AR47" s="29">
        <f t="shared" si="176"/>
        <v>570.42100000000005</v>
      </c>
      <c r="AS47" s="29">
        <f t="shared" si="177"/>
        <v>95.070166666666665</v>
      </c>
      <c r="AT47" s="46">
        <v>361.32100000000003</v>
      </c>
      <c r="AU47" s="46">
        <v>163.65799999999999</v>
      </c>
      <c r="AV47" s="46">
        <f>562.679-2.184</f>
        <v>560.495</v>
      </c>
      <c r="AW47" s="46">
        <f>744.481-11.824</f>
        <v>732.65700000000004</v>
      </c>
      <c r="AX47" s="50">
        <f t="shared" si="164"/>
        <v>1818.1310000000003</v>
      </c>
      <c r="AY47" s="25">
        <f t="shared" si="183"/>
        <v>4862.9110000000001</v>
      </c>
      <c r="AZ47" s="25">
        <f t="shared" si="184"/>
        <v>313.81616666666667</v>
      </c>
      <c r="BA47" s="25">
        <f t="shared" si="185"/>
        <v>1882.8970000000002</v>
      </c>
      <c r="BB47" s="31">
        <f t="shared" si="186"/>
        <v>15.496049969807164</v>
      </c>
      <c r="BC47" s="31">
        <f t="shared" si="187"/>
        <v>2.5826749949678605</v>
      </c>
      <c r="BD47" s="44"/>
      <c r="BE47" s="47">
        <f>277.929-BN47</f>
        <v>146.88799999999998</v>
      </c>
      <c r="BF47" s="48"/>
      <c r="BG47" s="48">
        <v>98.525000000000006</v>
      </c>
      <c r="BH47" s="32">
        <f t="shared" si="188"/>
        <v>98.525000000000006</v>
      </c>
      <c r="BI47" s="48"/>
      <c r="BJ47" s="48">
        <v>22.768000000000001</v>
      </c>
      <c r="BK47" s="32">
        <f t="shared" si="211"/>
        <v>22.768000000000001</v>
      </c>
      <c r="BL47" s="48"/>
      <c r="BM47" s="48">
        <f>8.854+122.187</f>
        <v>131.041</v>
      </c>
      <c r="BN47" s="32">
        <f t="shared" si="189"/>
        <v>131.041</v>
      </c>
      <c r="BO47" s="48"/>
      <c r="BP47" s="48">
        <v>77.921000000000006</v>
      </c>
      <c r="BQ47" s="32">
        <f t="shared" si="212"/>
        <v>77.921000000000006</v>
      </c>
      <c r="BR47" s="235">
        <v>1617.771</v>
      </c>
      <c r="BS47" s="235">
        <v>1617.771</v>
      </c>
      <c r="BT47" s="201">
        <f t="shared" si="190"/>
        <v>1</v>
      </c>
      <c r="BU47" s="35">
        <f t="shared" si="191"/>
        <v>477.14299999999997</v>
      </c>
      <c r="BV47" s="31">
        <f t="shared" si="192"/>
        <v>20.180014943679243</v>
      </c>
      <c r="BW47" s="31">
        <f t="shared" si="193"/>
        <v>3.3633358239465414</v>
      </c>
      <c r="BX47" s="44"/>
      <c r="BY47" s="90">
        <f t="shared" si="194"/>
        <v>2295.2740000000003</v>
      </c>
      <c r="BZ47" s="38">
        <f t="shared" si="195"/>
        <v>229.52740000000006</v>
      </c>
      <c r="CA47" s="140">
        <f t="shared" si="196"/>
        <v>0.12624359850857833</v>
      </c>
      <c r="CB47" s="38">
        <f t="shared" si="197"/>
        <v>9.7075014450255885</v>
      </c>
      <c r="CC47" s="38">
        <f t="shared" si="198"/>
        <v>1.6179169075042652</v>
      </c>
      <c r="CD47" s="38">
        <f t="shared" si="199"/>
        <v>76.894999506576639</v>
      </c>
      <c r="CE47" s="38">
        <f t="shared" si="200"/>
        <v>12.815833251096109</v>
      </c>
      <c r="CF47" s="38">
        <f t="shared" si="201"/>
        <v>35.676064913486407</v>
      </c>
      <c r="CG47" s="38">
        <f t="shared" si="202"/>
        <v>45.383566358511999</v>
      </c>
      <c r="CH47" s="38">
        <f t="shared" si="203"/>
        <v>112.57106442006304</v>
      </c>
      <c r="CI47" s="38">
        <f t="shared" si="204"/>
        <v>5.9460108189144023</v>
      </c>
      <c r="CJ47" s="38">
        <f t="shared" si="205"/>
        <v>7.5639277264186671</v>
      </c>
      <c r="CK47" s="38">
        <f t="shared" si="206"/>
        <v>18.761844070010511</v>
      </c>
      <c r="CL47" s="37">
        <v>4</v>
      </c>
      <c r="CM47" s="38">
        <f t="shared" si="207"/>
        <v>3.5676064913486405</v>
      </c>
      <c r="CN47" s="38">
        <f t="shared" si="208"/>
        <v>84.353677083611046</v>
      </c>
      <c r="CO47" s="145">
        <f t="shared" si="209"/>
        <v>4.6395819159131567E-2</v>
      </c>
      <c r="CP47" s="327">
        <v>107.767</v>
      </c>
      <c r="CQ47" s="327"/>
      <c r="CR47" s="225"/>
      <c r="CS47" s="271"/>
      <c r="CT47" s="133"/>
      <c r="CU47" s="133"/>
      <c r="CV47" s="133"/>
      <c r="CW47" s="133"/>
      <c r="CX47" s="133"/>
      <c r="CY47" s="133"/>
      <c r="CZ47" s="133"/>
      <c r="DA47" s="133"/>
      <c r="DB47" s="133"/>
      <c r="DC47" s="133"/>
      <c r="DD47" s="133"/>
      <c r="DE47" s="273"/>
      <c r="DF47" s="273"/>
      <c r="DG47" s="273"/>
      <c r="DH47" s="132"/>
      <c r="DI47" s="132"/>
      <c r="DJ47" s="132"/>
      <c r="DK47" s="132"/>
      <c r="DL47" s="132"/>
      <c r="DM47" s="132"/>
      <c r="DN47" s="132"/>
      <c r="DO47" s="132"/>
      <c r="DP47" s="132"/>
      <c r="DQ47" s="132"/>
      <c r="DR47" s="132"/>
      <c r="DS47" s="132"/>
      <c r="DT47" s="276"/>
      <c r="DU47" s="276"/>
      <c r="DV47" s="276"/>
      <c r="DW47" s="279"/>
      <c r="DX47" s="279"/>
      <c r="DY47" s="279"/>
      <c r="DZ47" s="279"/>
      <c r="EA47" s="279"/>
      <c r="EB47" s="279"/>
      <c r="EC47" s="279"/>
      <c r="ED47" s="279"/>
      <c r="EE47" s="279"/>
      <c r="EF47" s="279"/>
      <c r="EG47" s="279"/>
      <c r="EH47" s="279"/>
      <c r="EI47" s="281"/>
      <c r="EJ47" s="281"/>
      <c r="EK47" s="295"/>
      <c r="EL47" s="343">
        <v>94.88</v>
      </c>
      <c r="EM47" s="343">
        <v>4</v>
      </c>
      <c r="EN47" s="343">
        <v>15.12</v>
      </c>
      <c r="EO47" s="116"/>
      <c r="EP47" s="116"/>
      <c r="EQ47" s="116"/>
      <c r="ER47" s="116"/>
      <c r="ES47" s="116"/>
      <c r="ET47" s="116"/>
      <c r="EU47" s="116"/>
      <c r="EV47" s="116"/>
      <c r="EW47" s="116"/>
      <c r="EX47" s="116"/>
      <c r="EY47" s="116"/>
      <c r="EZ47" s="116"/>
    </row>
    <row r="48" spans="1:164" ht="26.25" customHeight="1" x14ac:dyDescent="0.3">
      <c r="A48" s="43" t="s">
        <v>308</v>
      </c>
      <c r="B48" s="43" t="s">
        <v>309</v>
      </c>
      <c r="C48" s="22">
        <v>2012</v>
      </c>
      <c r="D48" s="52">
        <v>70.590999999999994</v>
      </c>
      <c r="E48" s="52">
        <v>18.003</v>
      </c>
      <c r="F48" s="52">
        <v>0</v>
      </c>
      <c r="G48" s="25">
        <f t="shared" si="0"/>
        <v>29.768166666666666</v>
      </c>
      <c r="H48" s="25">
        <f t="shared" si="1"/>
        <v>178.60899999999998</v>
      </c>
      <c r="I48" s="52">
        <v>0</v>
      </c>
      <c r="J48" s="52">
        <v>0</v>
      </c>
      <c r="K48" s="52">
        <v>0</v>
      </c>
      <c r="L48" s="25">
        <f t="shared" si="168"/>
        <v>0</v>
      </c>
      <c r="M48" s="25">
        <f t="shared" si="169"/>
        <v>0</v>
      </c>
      <c r="N48" s="25">
        <f t="shared" si="170"/>
        <v>29.768166666666666</v>
      </c>
      <c r="O48" s="25">
        <f t="shared" si="171"/>
        <v>178.60899999999998</v>
      </c>
      <c r="P48" s="26">
        <f t="shared" si="172"/>
        <v>1</v>
      </c>
      <c r="Q48" s="26">
        <f t="shared" si="127"/>
        <v>0.39522644435610749</v>
      </c>
      <c r="R48" s="26">
        <f t="shared" si="173"/>
        <v>0.60477355564389257</v>
      </c>
      <c r="S48" s="26">
        <f t="shared" si="174"/>
        <v>0</v>
      </c>
      <c r="T48" s="207">
        <v>112.572</v>
      </c>
      <c r="U48" s="207">
        <v>0</v>
      </c>
      <c r="V48" s="207">
        <v>376.66</v>
      </c>
      <c r="W48" s="25">
        <f t="shared" si="175"/>
        <v>1052.0920000000001</v>
      </c>
      <c r="X48" s="25">
        <f t="shared" si="178"/>
        <v>148.5390000000001</v>
      </c>
      <c r="Y48" s="25">
        <f t="shared" si="179"/>
        <v>175.34866666666667</v>
      </c>
      <c r="Z48" s="25">
        <f t="shared" si="182"/>
        <v>24.756499999999988</v>
      </c>
      <c r="AA48" s="204">
        <f t="shared" si="210"/>
        <v>0.16439434100711292</v>
      </c>
      <c r="AB48" s="44"/>
      <c r="AC48" s="45">
        <v>-40.49</v>
      </c>
      <c r="AD48" s="45">
        <v>189.37100000000001</v>
      </c>
      <c r="AE48" s="45">
        <v>157.26400000000001</v>
      </c>
      <c r="AF48" s="45">
        <v>0</v>
      </c>
      <c r="AG48" s="29">
        <f t="shared" si="17"/>
        <v>306.14499999999998</v>
      </c>
      <c r="AH48" s="234">
        <v>-15.945</v>
      </c>
      <c r="AI48" s="45">
        <v>60.357999999999997</v>
      </c>
      <c r="AJ48" s="45">
        <v>30.268999999999998</v>
      </c>
      <c r="AK48" s="45">
        <v>0</v>
      </c>
      <c r="AL48" s="29">
        <f t="shared" si="180"/>
        <v>74.681999999999988</v>
      </c>
      <c r="AM48" s="45">
        <v>0</v>
      </c>
      <c r="AN48" s="45">
        <v>0</v>
      </c>
      <c r="AO48" s="45">
        <v>0</v>
      </c>
      <c r="AP48" s="45">
        <v>0</v>
      </c>
      <c r="AQ48" s="29">
        <f t="shared" si="181"/>
        <v>0</v>
      </c>
      <c r="AR48" s="29">
        <f t="shared" si="176"/>
        <v>754.23699999999985</v>
      </c>
      <c r="AS48" s="29">
        <f t="shared" si="177"/>
        <v>125.70616666666666</v>
      </c>
      <c r="AT48" s="46">
        <v>441.04199999999997</v>
      </c>
      <c r="AU48" s="46">
        <v>857.83600000000001</v>
      </c>
      <c r="AV48" s="46">
        <f>781.174-2.611</f>
        <v>778.56299999999999</v>
      </c>
      <c r="AW48" s="46">
        <f>741.206-15.536</f>
        <v>725.67000000000007</v>
      </c>
      <c r="AX48" s="50">
        <f t="shared" si="164"/>
        <v>2803.1109999999999</v>
      </c>
      <c r="AY48" s="25">
        <f t="shared" si="183"/>
        <v>6992.0420000000004</v>
      </c>
      <c r="AZ48" s="25">
        <f t="shared" si="184"/>
        <v>354.29433333333333</v>
      </c>
      <c r="BA48" s="25">
        <f t="shared" si="185"/>
        <v>2125.7659999999996</v>
      </c>
      <c r="BB48" s="31">
        <f t="shared" si="186"/>
        <v>19.735122304148248</v>
      </c>
      <c r="BC48" s="31">
        <f t="shared" si="187"/>
        <v>3.2891870506913752</v>
      </c>
      <c r="BD48" s="44"/>
      <c r="BE48" s="47">
        <f>343.743-BN48</f>
        <v>192.94200000000001</v>
      </c>
      <c r="BF48" s="48"/>
      <c r="BG48" s="48">
        <v>133.79599999999999</v>
      </c>
      <c r="BH48" s="32">
        <f t="shared" si="188"/>
        <v>133.79599999999999</v>
      </c>
      <c r="BI48" s="48"/>
      <c r="BJ48" s="48">
        <v>19.673999999999999</v>
      </c>
      <c r="BK48" s="32">
        <f t="shared" si="211"/>
        <v>19.673999999999999</v>
      </c>
      <c r="BL48" s="48"/>
      <c r="BM48" s="48">
        <f>13.695+137.106</f>
        <v>150.80099999999999</v>
      </c>
      <c r="BN48" s="32">
        <f t="shared" si="189"/>
        <v>150.80099999999999</v>
      </c>
      <c r="BO48" s="48"/>
      <c r="BP48" s="48">
        <v>158.715</v>
      </c>
      <c r="BQ48" s="32">
        <f t="shared" si="212"/>
        <v>158.715</v>
      </c>
      <c r="BR48" s="235">
        <v>1819.8140000000001</v>
      </c>
      <c r="BS48" s="235">
        <v>1819.8140000000001</v>
      </c>
      <c r="BT48" s="201">
        <f t="shared" si="190"/>
        <v>1</v>
      </c>
      <c r="BU48" s="35">
        <f t="shared" si="191"/>
        <v>655.92799999999988</v>
      </c>
      <c r="BV48" s="31">
        <f t="shared" si="192"/>
        <v>22.034544731788429</v>
      </c>
      <c r="BW48" s="31">
        <f t="shared" si="193"/>
        <v>3.6724241219647382</v>
      </c>
      <c r="BX48" s="44"/>
      <c r="BY48" s="90">
        <f t="shared" si="194"/>
        <v>3459.0389999999998</v>
      </c>
      <c r="BZ48" s="38">
        <f t="shared" si="195"/>
        <v>345.90390000000002</v>
      </c>
      <c r="CA48" s="140">
        <f t="shared" si="196"/>
        <v>0.12340000092754087</v>
      </c>
      <c r="CB48" s="38">
        <f t="shared" si="197"/>
        <v>11.619926207525937</v>
      </c>
      <c r="CC48" s="38">
        <f t="shared" si="198"/>
        <v>1.9366543679209898</v>
      </c>
      <c r="CD48" s="38">
        <f t="shared" si="199"/>
        <v>94.164717343470926</v>
      </c>
      <c r="CE48" s="38">
        <f t="shared" si="200"/>
        <v>15.694119557245157</v>
      </c>
      <c r="CF48" s="38">
        <f t="shared" si="201"/>
        <v>41.769667035936678</v>
      </c>
      <c r="CG48" s="38">
        <f t="shared" si="202"/>
        <v>53.389593243462613</v>
      </c>
      <c r="CH48" s="38">
        <f t="shared" si="203"/>
        <v>135.93438437940762</v>
      </c>
      <c r="CI48" s="38">
        <f t="shared" si="204"/>
        <v>6.961611172656113</v>
      </c>
      <c r="CJ48" s="38">
        <f t="shared" si="205"/>
        <v>8.8982655405771034</v>
      </c>
      <c r="CK48" s="38">
        <f t="shared" si="206"/>
        <v>22.655730729901272</v>
      </c>
      <c r="CL48" s="37">
        <v>4</v>
      </c>
      <c r="CM48" s="38">
        <f t="shared" si="207"/>
        <v>4.176966703593668</v>
      </c>
      <c r="CN48" s="38">
        <f t="shared" si="208"/>
        <v>124.34064099369357</v>
      </c>
      <c r="CO48" s="145">
        <f t="shared" si="209"/>
        <v>4.435808678061396E-2</v>
      </c>
      <c r="CP48" s="327">
        <v>118.806</v>
      </c>
      <c r="CQ48" s="327"/>
      <c r="CR48" s="225"/>
      <c r="CS48" s="270">
        <f>+CT48*CU48</f>
        <v>90.126199999999997</v>
      </c>
      <c r="CT48" s="269">
        <v>15.539</v>
      </c>
      <c r="CU48" s="133">
        <v>5.8</v>
      </c>
      <c r="CV48" s="269">
        <f>+CW48*CX48</f>
        <v>68.411199999999994</v>
      </c>
      <c r="CW48" s="269">
        <v>14.872</v>
      </c>
      <c r="CX48" s="133">
        <v>4.5999999999999996</v>
      </c>
      <c r="CY48" s="269">
        <f>+CZ48*DA48</f>
        <v>85.151999999999987</v>
      </c>
      <c r="CZ48" s="269">
        <v>17.739999999999998</v>
      </c>
      <c r="DA48" s="133">
        <v>4.8</v>
      </c>
      <c r="DB48" s="269">
        <f t="shared" ref="DB48:DC52" si="213">+DE48-CS48-CV48-CY48</f>
        <v>94.038510000000031</v>
      </c>
      <c r="DC48" s="269">
        <f t="shared" si="213"/>
        <v>18.462</v>
      </c>
      <c r="DD48" s="133">
        <f>+DB48/DC48</f>
        <v>5.0936252843678922</v>
      </c>
      <c r="DE48" s="274">
        <f>+DF48*DG48</f>
        <v>337.72791000000001</v>
      </c>
      <c r="DF48" s="274">
        <v>66.613</v>
      </c>
      <c r="DG48" s="273">
        <v>5.07</v>
      </c>
      <c r="DH48" s="272">
        <f>+DI48*DJ48</f>
        <v>351.75118000000003</v>
      </c>
      <c r="DI48" s="272">
        <v>3.9140000000000001</v>
      </c>
      <c r="DJ48" s="296">
        <v>89.87</v>
      </c>
      <c r="DK48" s="272">
        <f>+DL48*DM48</f>
        <v>343.07144999999997</v>
      </c>
      <c r="DL48" s="272">
        <v>3.915</v>
      </c>
      <c r="DM48" s="296">
        <v>87.63</v>
      </c>
      <c r="DN48" s="272">
        <f>+DO48*DP48</f>
        <v>396.31592000000001</v>
      </c>
      <c r="DO48" s="272">
        <v>4.3120000000000003</v>
      </c>
      <c r="DP48" s="296">
        <v>91.91</v>
      </c>
      <c r="DQ48" s="272">
        <f t="shared" ref="DQ48:DR52" si="214">+DT48-DN48-DK48-DH48</f>
        <v>414.20156000000037</v>
      </c>
      <c r="DR48" s="272">
        <f t="shared" si="214"/>
        <v>4.7180000000000017</v>
      </c>
      <c r="DS48" s="296">
        <f>+DQ48/DR48</f>
        <v>87.791767698177239</v>
      </c>
      <c r="DT48" s="277">
        <f>+DU48*DV48</f>
        <v>1505.3401100000003</v>
      </c>
      <c r="DU48" s="277">
        <v>16.859000000000002</v>
      </c>
      <c r="DV48" s="297">
        <v>89.29</v>
      </c>
      <c r="DW48" s="99"/>
      <c r="DX48" s="99"/>
      <c r="DY48" s="298"/>
      <c r="DZ48" s="99"/>
      <c r="EA48" s="99"/>
      <c r="EB48" s="298"/>
      <c r="EC48" s="99"/>
      <c r="ED48" s="99"/>
      <c r="EE48" s="298"/>
      <c r="EF48" s="99"/>
      <c r="EG48" s="99"/>
      <c r="EH48" s="298"/>
      <c r="EI48" s="282"/>
      <c r="EJ48" s="282"/>
      <c r="EK48" s="299"/>
      <c r="EL48" s="344">
        <v>94.05</v>
      </c>
      <c r="EM48" s="344">
        <v>2.75</v>
      </c>
      <c r="EN48" s="344">
        <v>10.98</v>
      </c>
      <c r="EO48" s="74">
        <v>2.41</v>
      </c>
      <c r="EP48" s="74">
        <v>2.2799999999999998</v>
      </c>
      <c r="EQ48" s="74">
        <v>2.88</v>
      </c>
      <c r="ER48" s="74">
        <v>3.4</v>
      </c>
      <c r="ES48" s="74">
        <v>13.14</v>
      </c>
      <c r="ET48" s="74">
        <v>10.75</v>
      </c>
      <c r="EU48" s="74">
        <v>9.9600000000000009</v>
      </c>
      <c r="EV48" s="74">
        <v>10.08</v>
      </c>
      <c r="EW48" s="74">
        <v>102.98</v>
      </c>
      <c r="EX48" s="74">
        <v>93.29</v>
      </c>
      <c r="EY48" s="74">
        <v>92.17</v>
      </c>
      <c r="EZ48" s="74">
        <v>88.01</v>
      </c>
    </row>
    <row r="49" spans="1:156" ht="26.25" customHeight="1" x14ac:dyDescent="0.3">
      <c r="A49" s="43" t="s">
        <v>308</v>
      </c>
      <c r="B49" s="43" t="s">
        <v>309</v>
      </c>
      <c r="C49" s="53">
        <v>2013</v>
      </c>
      <c r="D49" s="52">
        <v>75.054000000000002</v>
      </c>
      <c r="E49" s="52">
        <v>21.126000000000001</v>
      </c>
      <c r="F49" s="52">
        <v>0</v>
      </c>
      <c r="G49" s="52">
        <f t="shared" si="0"/>
        <v>33.635000000000005</v>
      </c>
      <c r="H49" s="52">
        <f t="shared" si="1"/>
        <v>201.81</v>
      </c>
      <c r="I49" s="52">
        <v>0</v>
      </c>
      <c r="J49" s="52">
        <v>0</v>
      </c>
      <c r="K49" s="52">
        <v>0</v>
      </c>
      <c r="L49" s="52">
        <f t="shared" si="168"/>
        <v>0</v>
      </c>
      <c r="M49" s="52">
        <f t="shared" si="169"/>
        <v>0</v>
      </c>
      <c r="N49" s="52">
        <f t="shared" si="170"/>
        <v>33.635000000000005</v>
      </c>
      <c r="O49" s="52">
        <f t="shared" si="171"/>
        <v>201.81</v>
      </c>
      <c r="P49" s="54">
        <f t="shared" si="172"/>
        <v>1</v>
      </c>
      <c r="Q49" s="54">
        <f t="shared" si="127"/>
        <v>0.37190426638917795</v>
      </c>
      <c r="R49" s="54">
        <f t="shared" si="173"/>
        <v>0.62809573361082205</v>
      </c>
      <c r="S49" s="54">
        <f t="shared" si="174"/>
        <v>0</v>
      </c>
      <c r="T49" s="208">
        <v>127.86199999999999</v>
      </c>
      <c r="U49" s="208">
        <v>0</v>
      </c>
      <c r="V49" s="208">
        <v>430.82299999999998</v>
      </c>
      <c r="W49" s="52">
        <f t="shared" si="175"/>
        <v>1197.9949999999999</v>
      </c>
      <c r="X49" s="52">
        <f t="shared" si="178"/>
        <v>145.90299999999979</v>
      </c>
      <c r="Y49" s="52">
        <f t="shared" si="179"/>
        <v>199.66583333333332</v>
      </c>
      <c r="Z49" s="52">
        <f t="shared" si="182"/>
        <v>24.317166666666651</v>
      </c>
      <c r="AA49" s="205">
        <f t="shared" si="210"/>
        <v>0.13867893682301538</v>
      </c>
      <c r="AB49" s="44"/>
      <c r="AC49" s="45">
        <v>2.3130000000000002</v>
      </c>
      <c r="AD49" s="45">
        <v>199.886</v>
      </c>
      <c r="AE49" s="45">
        <v>4.016</v>
      </c>
      <c r="AF49" s="45">
        <v>0</v>
      </c>
      <c r="AG49" s="55">
        <f t="shared" si="17"/>
        <v>206.21499999999997</v>
      </c>
      <c r="AH49" s="234">
        <v>-17.914000000000001</v>
      </c>
      <c r="AI49" s="45">
        <v>72.025000000000006</v>
      </c>
      <c r="AJ49" s="45">
        <v>0.88900000000000001</v>
      </c>
      <c r="AK49" s="45">
        <v>0</v>
      </c>
      <c r="AL49" s="55">
        <f t="shared" si="180"/>
        <v>55.000000000000007</v>
      </c>
      <c r="AM49" s="45">
        <v>0</v>
      </c>
      <c r="AN49" s="45">
        <v>0</v>
      </c>
      <c r="AO49" s="45">
        <v>0</v>
      </c>
      <c r="AP49" s="45">
        <v>0</v>
      </c>
      <c r="AQ49" s="55">
        <f t="shared" si="181"/>
        <v>0</v>
      </c>
      <c r="AR49" s="55">
        <f t="shared" si="176"/>
        <v>536.21500000000003</v>
      </c>
      <c r="AS49" s="55">
        <f t="shared" si="177"/>
        <v>89.369166666666672</v>
      </c>
      <c r="AT49" s="46">
        <v>85.537999999999997</v>
      </c>
      <c r="AU49" s="46">
        <v>11.499000000000001</v>
      </c>
      <c r="AV49" s="46">
        <f>1029.793-2.672</f>
        <v>1027.1209999999999</v>
      </c>
      <c r="AW49" s="46">
        <f>738.43-9.467</f>
        <v>728.96299999999997</v>
      </c>
      <c r="AX49" s="50">
        <f t="shared" si="164"/>
        <v>1853.1209999999999</v>
      </c>
      <c r="AY49" s="52">
        <f t="shared" si="183"/>
        <v>6474.3630000000003</v>
      </c>
      <c r="AZ49" s="52">
        <f t="shared" si="184"/>
        <v>310.14549999999997</v>
      </c>
      <c r="BA49" s="52">
        <f t="shared" si="185"/>
        <v>1860.873</v>
      </c>
      <c r="BB49" s="50">
        <f t="shared" si="186"/>
        <v>20.875244038685072</v>
      </c>
      <c r="BC49" s="50">
        <f t="shared" si="187"/>
        <v>3.479207339780845</v>
      </c>
      <c r="BD49" s="44"/>
      <c r="BE49" s="47">
        <f>455.436-BN49</f>
        <v>263.87199999999996</v>
      </c>
      <c r="BF49" s="48"/>
      <c r="BG49" s="235">
        <v>169.815</v>
      </c>
      <c r="BH49" s="47">
        <f t="shared" si="188"/>
        <v>169.815</v>
      </c>
      <c r="BI49" s="48"/>
      <c r="BJ49" s="48">
        <v>21.376000000000001</v>
      </c>
      <c r="BK49" s="47">
        <f t="shared" si="211"/>
        <v>21.376000000000001</v>
      </c>
      <c r="BL49" s="48"/>
      <c r="BM49" s="48">
        <f>22.979+168.585</f>
        <v>191.56400000000002</v>
      </c>
      <c r="BN49" s="47">
        <f t="shared" si="189"/>
        <v>191.56400000000002</v>
      </c>
      <c r="BO49" s="48"/>
      <c r="BP49" s="48">
        <v>200.96100000000001</v>
      </c>
      <c r="BQ49" s="47">
        <f t="shared" si="212"/>
        <v>200.96100000000001</v>
      </c>
      <c r="BR49" s="48">
        <v>2319.9189999999999</v>
      </c>
      <c r="BS49" s="48">
        <v>2319.9189999999999</v>
      </c>
      <c r="BT49" s="202">
        <f t="shared" si="190"/>
        <v>1</v>
      </c>
      <c r="BU49" s="49">
        <f t="shared" si="191"/>
        <v>847.58799999999997</v>
      </c>
      <c r="BV49" s="50">
        <f t="shared" si="192"/>
        <v>25.199583766909463</v>
      </c>
      <c r="BW49" s="50">
        <f t="shared" si="193"/>
        <v>4.1999306278182447</v>
      </c>
      <c r="BX49" s="44"/>
      <c r="BY49" s="91">
        <f t="shared" si="194"/>
        <v>2700.7089999999998</v>
      </c>
      <c r="BZ49" s="56">
        <f t="shared" si="195"/>
        <v>270.07089999999999</v>
      </c>
      <c r="CA49" s="141">
        <f t="shared" si="196"/>
        <v>0.14573840564107796</v>
      </c>
      <c r="CB49" s="56">
        <f t="shared" si="197"/>
        <v>8.0294603835290612</v>
      </c>
      <c r="CC49" s="56">
        <f t="shared" si="198"/>
        <v>1.3382433972548435</v>
      </c>
      <c r="CD49" s="56">
        <f t="shared" si="199"/>
        <v>55.095020068381139</v>
      </c>
      <c r="CE49" s="56">
        <f t="shared" si="200"/>
        <v>9.1825033447301916</v>
      </c>
      <c r="CF49" s="56">
        <f t="shared" si="201"/>
        <v>46.074827805594538</v>
      </c>
      <c r="CG49" s="56">
        <f t="shared" si="202"/>
        <v>54.104288189123601</v>
      </c>
      <c r="CH49" s="56">
        <f t="shared" si="203"/>
        <v>101.16984787397567</v>
      </c>
      <c r="CI49" s="56">
        <f t="shared" si="204"/>
        <v>7.6791379675990896</v>
      </c>
      <c r="CJ49" s="38">
        <f t="shared" si="205"/>
        <v>9.0173813648539323</v>
      </c>
      <c r="CK49" s="56">
        <f t="shared" si="206"/>
        <v>16.861641312329283</v>
      </c>
      <c r="CL49" s="51">
        <v>4</v>
      </c>
      <c r="CM49" s="56">
        <f t="shared" si="207"/>
        <v>4.6074827805594536</v>
      </c>
      <c r="CN49" s="56">
        <f t="shared" si="208"/>
        <v>154.97268332411724</v>
      </c>
      <c r="CO49" s="145">
        <f t="shared" si="209"/>
        <v>8.3627935425758623E-2</v>
      </c>
      <c r="CP49" s="327">
        <v>144.50399999999999</v>
      </c>
      <c r="CQ49" s="327"/>
      <c r="CR49" s="225"/>
      <c r="CS49" s="270">
        <f>+CT49*CU49</f>
        <v>78.845139999999986</v>
      </c>
      <c r="CT49" s="269">
        <v>17.797999999999998</v>
      </c>
      <c r="CU49" s="133">
        <v>4.43</v>
      </c>
      <c r="CV49" s="269">
        <f>+CW49*CX49</f>
        <v>96.425699999999992</v>
      </c>
      <c r="CW49" s="269">
        <v>18.614999999999998</v>
      </c>
      <c r="CX49" s="133">
        <v>5.18</v>
      </c>
      <c r="CY49" s="269">
        <f>+CZ49*DA49</f>
        <v>104.43069</v>
      </c>
      <c r="CZ49" s="269">
        <v>19.593</v>
      </c>
      <c r="DA49" s="133">
        <v>5.33</v>
      </c>
      <c r="DB49" s="269">
        <f t="shared" si="213"/>
        <v>111.32980999999998</v>
      </c>
      <c r="DC49" s="269">
        <f t="shared" si="213"/>
        <v>19.048000000000005</v>
      </c>
      <c r="DD49" s="133">
        <f>+DB49/DC49</f>
        <v>5.8446981310373767</v>
      </c>
      <c r="DE49" s="274">
        <f>+DF49*DG49</f>
        <v>391.03134</v>
      </c>
      <c r="DF49" s="274">
        <v>75.054000000000002</v>
      </c>
      <c r="DG49" s="273">
        <v>5.21</v>
      </c>
      <c r="DH49" s="272">
        <f>+DI49*DJ49</f>
        <v>399.23625000000004</v>
      </c>
      <c r="DI49" s="272">
        <v>4.7670000000000003</v>
      </c>
      <c r="DJ49" s="296">
        <v>83.75</v>
      </c>
      <c r="DK49" s="272">
        <f>+DL49*DM49</f>
        <v>467.95495999999997</v>
      </c>
      <c r="DL49" s="272">
        <v>5.1920000000000002</v>
      </c>
      <c r="DM49" s="296">
        <v>90.13</v>
      </c>
      <c r="DN49" s="272">
        <f>+DO49*DP49</f>
        <v>503.18512999999996</v>
      </c>
      <c r="DO49" s="272">
        <v>5.4169999999999998</v>
      </c>
      <c r="DP49" s="296">
        <v>92.89</v>
      </c>
      <c r="DQ49" s="272">
        <f t="shared" si="214"/>
        <v>526.52720000000033</v>
      </c>
      <c r="DR49" s="272">
        <f t="shared" si="214"/>
        <v>5.7500000000000009</v>
      </c>
      <c r="DS49" s="296">
        <f>+DQ49/DR49</f>
        <v>91.569947826087002</v>
      </c>
      <c r="DT49" s="277">
        <f>+DU49*DV49</f>
        <v>1896.9035400000002</v>
      </c>
      <c r="DU49" s="277">
        <v>21.126000000000001</v>
      </c>
      <c r="DV49" s="297">
        <v>89.79</v>
      </c>
      <c r="DW49" s="99"/>
      <c r="DX49" s="99"/>
      <c r="DY49" s="298"/>
      <c r="DZ49" s="99"/>
      <c r="EA49" s="99"/>
      <c r="EB49" s="298"/>
      <c r="EC49" s="99"/>
      <c r="ED49" s="99"/>
      <c r="EE49" s="298"/>
      <c r="EF49" s="99"/>
      <c r="EG49" s="99"/>
      <c r="EH49" s="298"/>
      <c r="EI49" s="282"/>
      <c r="EJ49" s="282"/>
      <c r="EK49" s="299"/>
      <c r="EL49" s="344">
        <v>97.98</v>
      </c>
      <c r="EM49" s="344">
        <v>3.73</v>
      </c>
      <c r="EN49" s="344">
        <v>9.94</v>
      </c>
      <c r="EO49" s="74">
        <v>3.49</v>
      </c>
      <c r="EP49" s="74">
        <v>4.01</v>
      </c>
      <c r="EQ49" s="74">
        <v>3.56</v>
      </c>
      <c r="ER49" s="74">
        <v>3.85</v>
      </c>
      <c r="ES49" s="74">
        <v>9.77</v>
      </c>
      <c r="ET49" s="74">
        <v>9.39</v>
      </c>
      <c r="EU49" s="74">
        <v>10.01</v>
      </c>
      <c r="EV49" s="74">
        <v>10.53</v>
      </c>
      <c r="EW49" s="74">
        <v>94.33</v>
      </c>
      <c r="EX49" s="74">
        <v>94.05</v>
      </c>
      <c r="EY49" s="74">
        <v>105.83</v>
      </c>
      <c r="EZ49" s="74">
        <v>97.44</v>
      </c>
    </row>
    <row r="50" spans="1:156" ht="26.25" customHeight="1" x14ac:dyDescent="0.3">
      <c r="A50" s="43" t="s">
        <v>308</v>
      </c>
      <c r="B50" s="43" t="s">
        <v>309</v>
      </c>
      <c r="C50" s="53">
        <v>2014</v>
      </c>
      <c r="D50" s="52">
        <v>87.335999999999999</v>
      </c>
      <c r="E50" s="52">
        <v>26.318999999999999</v>
      </c>
      <c r="F50" s="52">
        <v>0</v>
      </c>
      <c r="G50" s="52">
        <f t="shared" si="0"/>
        <v>40.875</v>
      </c>
      <c r="H50" s="52">
        <f t="shared" si="1"/>
        <v>245.25</v>
      </c>
      <c r="I50" s="52">
        <v>0</v>
      </c>
      <c r="J50" s="52">
        <v>0</v>
      </c>
      <c r="K50" s="52">
        <v>0</v>
      </c>
      <c r="L50" s="52">
        <f t="shared" si="168"/>
        <v>0</v>
      </c>
      <c r="M50" s="52">
        <f t="shared" si="169"/>
        <v>0</v>
      </c>
      <c r="N50" s="52">
        <f t="shared" si="170"/>
        <v>40.875</v>
      </c>
      <c r="O50" s="52">
        <f t="shared" si="171"/>
        <v>245.25</v>
      </c>
      <c r="P50" s="54">
        <f t="shared" si="172"/>
        <v>1</v>
      </c>
      <c r="Q50" s="54">
        <f t="shared" ref="Q50:Q62" si="215">D50/H50</f>
        <v>0.35611009174311925</v>
      </c>
      <c r="R50" s="54">
        <f t="shared" si="173"/>
        <v>0.64388990825688075</v>
      </c>
      <c r="S50" s="54">
        <f t="shared" si="174"/>
        <v>0</v>
      </c>
      <c r="T50" s="208">
        <v>158.90100000000001</v>
      </c>
      <c r="U50" s="208">
        <v>0</v>
      </c>
      <c r="V50" s="208">
        <v>608.44799999999998</v>
      </c>
      <c r="W50" s="52">
        <f t="shared" si="175"/>
        <v>1561.854</v>
      </c>
      <c r="X50" s="52">
        <f t="shared" si="178"/>
        <v>363.85900000000015</v>
      </c>
      <c r="Y50" s="52">
        <f t="shared" si="179"/>
        <v>260.30900000000003</v>
      </c>
      <c r="Z50" s="52">
        <f t="shared" si="182"/>
        <v>60.643166666666701</v>
      </c>
      <c r="AA50" s="205">
        <f t="shared" si="210"/>
        <v>0.3037233043543589</v>
      </c>
      <c r="AB50" s="44"/>
      <c r="AC50" s="45">
        <v>95.811999999999998</v>
      </c>
      <c r="AD50" s="45">
        <v>400.32900000000001</v>
      </c>
      <c r="AE50" s="45">
        <v>18.97</v>
      </c>
      <c r="AF50" s="45">
        <v>0</v>
      </c>
      <c r="AG50" s="55">
        <f>SUM(AC50:AF50)</f>
        <v>515.11099999999999</v>
      </c>
      <c r="AH50" s="234">
        <v>-28.648</v>
      </c>
      <c r="AI50" s="45">
        <v>115.389</v>
      </c>
      <c r="AJ50" s="45">
        <v>2.5430000000000001</v>
      </c>
      <c r="AK50" s="45">
        <v>0</v>
      </c>
      <c r="AL50" s="55">
        <f t="shared" ref="AL50:AL63" si="216">SUM(AH50:AK50)</f>
        <v>89.284000000000006</v>
      </c>
      <c r="AM50" s="45">
        <v>0</v>
      </c>
      <c r="AN50" s="45">
        <v>0</v>
      </c>
      <c r="AO50" s="45">
        <v>0</v>
      </c>
      <c r="AP50" s="45">
        <v>0</v>
      </c>
      <c r="AQ50" s="55">
        <f>SUM(AM50:AP50)</f>
        <v>0</v>
      </c>
      <c r="AR50" s="55">
        <f t="shared" si="176"/>
        <v>1050.8150000000001</v>
      </c>
      <c r="AS50" s="55">
        <f t="shared" si="177"/>
        <v>175.13583333333332</v>
      </c>
      <c r="AT50" s="46">
        <v>292.363</v>
      </c>
      <c r="AU50" s="46">
        <v>99.361999999999995</v>
      </c>
      <c r="AV50" s="46">
        <f>1615.238-2.589</f>
        <v>1612.6490000000001</v>
      </c>
      <c r="AW50" s="46">
        <f>937.491-7.488</f>
        <v>930.00299999999993</v>
      </c>
      <c r="AX50" s="50">
        <f t="shared" si="164"/>
        <v>2934.3770000000004</v>
      </c>
      <c r="AY50" s="52">
        <f t="shared" si="183"/>
        <v>7590.6090000000004</v>
      </c>
      <c r="AZ50" s="52">
        <f t="shared" si="184"/>
        <v>390.21116666666666</v>
      </c>
      <c r="BA50" s="52">
        <f t="shared" si="185"/>
        <v>2341.2669999999998</v>
      </c>
      <c r="BB50" s="50">
        <f t="shared" si="186"/>
        <v>19.452567349217325</v>
      </c>
      <c r="BC50" s="50">
        <f t="shared" si="187"/>
        <v>3.2420945582028882</v>
      </c>
      <c r="BD50" s="44"/>
      <c r="BE50" s="47">
        <f>538.374-BN50</f>
        <v>329.25099999999998</v>
      </c>
      <c r="BF50" s="48"/>
      <c r="BG50" s="235">
        <v>204.161</v>
      </c>
      <c r="BH50" s="47">
        <f t="shared" si="188"/>
        <v>204.161</v>
      </c>
      <c r="BI50" s="48"/>
      <c r="BJ50" s="48">
        <v>27.844000000000001</v>
      </c>
      <c r="BK50" s="47">
        <f t="shared" si="211"/>
        <v>27.844000000000001</v>
      </c>
      <c r="BL50" s="48"/>
      <c r="BM50" s="48">
        <f>20.775+188.348</f>
        <v>209.12300000000002</v>
      </c>
      <c r="BN50" s="47">
        <f t="shared" si="189"/>
        <v>209.12300000000002</v>
      </c>
      <c r="BO50" s="48"/>
      <c r="BP50" s="48">
        <v>211.34200000000001</v>
      </c>
      <c r="BQ50" s="47">
        <f t="shared" si="212"/>
        <v>211.34200000000001</v>
      </c>
      <c r="BR50" s="48">
        <v>2660.1469999999999</v>
      </c>
      <c r="BS50" s="48">
        <v>2660.1469999999999</v>
      </c>
      <c r="BT50" s="202">
        <f t="shared" si="190"/>
        <v>1</v>
      </c>
      <c r="BU50" s="49">
        <f t="shared" si="191"/>
        <v>981.721</v>
      </c>
      <c r="BV50" s="50">
        <f t="shared" si="192"/>
        <v>24.017639143730886</v>
      </c>
      <c r="BW50" s="50">
        <f t="shared" si="193"/>
        <v>4.0029398572884816</v>
      </c>
      <c r="BX50" s="44"/>
      <c r="BY50" s="91">
        <f t="shared" si="194"/>
        <v>3916.0980000000004</v>
      </c>
      <c r="BZ50" s="56">
        <f t="shared" si="195"/>
        <v>391.60980000000006</v>
      </c>
      <c r="CA50" s="141">
        <f t="shared" si="196"/>
        <v>0.13345585792146</v>
      </c>
      <c r="CB50" s="56">
        <f t="shared" si="197"/>
        <v>9.5806678899082591</v>
      </c>
      <c r="CC50" s="56">
        <f t="shared" si="198"/>
        <v>1.5967779816513763</v>
      </c>
      <c r="CD50" s="56">
        <f t="shared" si="199"/>
        <v>71.789039755351695</v>
      </c>
      <c r="CE50" s="56">
        <f t="shared" si="200"/>
        <v>11.964839959225282</v>
      </c>
      <c r="CF50" s="56">
        <f t="shared" si="201"/>
        <v>43.470206492948208</v>
      </c>
      <c r="CG50" s="56">
        <f t="shared" si="202"/>
        <v>53.050874382856463</v>
      </c>
      <c r="CH50" s="56">
        <f t="shared" si="203"/>
        <v>115.2592462482999</v>
      </c>
      <c r="CI50" s="56">
        <f t="shared" si="204"/>
        <v>7.2450344154913697</v>
      </c>
      <c r="CJ50" s="56">
        <f t="shared" si="205"/>
        <v>8.8418123971427462</v>
      </c>
      <c r="CK50" s="56">
        <f t="shared" si="206"/>
        <v>19.209874374716652</v>
      </c>
      <c r="CL50" s="51">
        <v>4</v>
      </c>
      <c r="CM50" s="56">
        <f t="shared" si="207"/>
        <v>4.3470206492948211</v>
      </c>
      <c r="CN50" s="56">
        <f t="shared" si="208"/>
        <v>177.6844690399258</v>
      </c>
      <c r="CO50" s="173">
        <f t="shared" si="209"/>
        <v>6.0552706431356906E-2</v>
      </c>
      <c r="CP50" s="328">
        <v>241.65700000000001</v>
      </c>
      <c r="CQ50" s="328"/>
      <c r="CR50" s="82"/>
      <c r="CS50" s="270">
        <f>+CT50*CU50</f>
        <v>116.02800000000001</v>
      </c>
      <c r="CT50" s="269">
        <v>19.8</v>
      </c>
      <c r="CU50" s="133">
        <v>5.86</v>
      </c>
      <c r="CV50" s="269">
        <f>+CW50*CX50</f>
        <v>122.4645</v>
      </c>
      <c r="CW50" s="269">
        <v>21.484999999999999</v>
      </c>
      <c r="CX50" s="133">
        <v>5.7</v>
      </c>
      <c r="CY50" s="269">
        <f>+CZ50*DA50</f>
        <v>125.17228</v>
      </c>
      <c r="CZ50" s="269">
        <v>22.513000000000002</v>
      </c>
      <c r="DA50" s="133">
        <v>5.56</v>
      </c>
      <c r="DB50" s="269">
        <f t="shared" si="213"/>
        <v>102.70945999999998</v>
      </c>
      <c r="DC50" s="269">
        <f t="shared" si="213"/>
        <v>23.538</v>
      </c>
      <c r="DD50" s="133">
        <f>+DB50/DC50</f>
        <v>4.3635593508369439</v>
      </c>
      <c r="DE50" s="274">
        <f>+DF50*DG50</f>
        <v>466.37423999999999</v>
      </c>
      <c r="DF50" s="274">
        <v>87.335999999999999</v>
      </c>
      <c r="DG50" s="273">
        <v>5.34</v>
      </c>
      <c r="DH50" s="272">
        <f>+DI50*DJ50</f>
        <v>530.1152800000001</v>
      </c>
      <c r="DI50" s="272">
        <v>5.8460000000000001</v>
      </c>
      <c r="DJ50" s="296">
        <v>90.68</v>
      </c>
      <c r="DK50" s="272">
        <f>+DL50*DM50</f>
        <v>556.18741</v>
      </c>
      <c r="DL50" s="272">
        <v>6.2290000000000001</v>
      </c>
      <c r="DM50" s="296">
        <v>89.29</v>
      </c>
      <c r="DN50" s="272">
        <f>+DO50*DP50</f>
        <v>589.90291000000002</v>
      </c>
      <c r="DO50" s="272">
        <v>6.6890000000000001</v>
      </c>
      <c r="DP50" s="296">
        <v>88.19</v>
      </c>
      <c r="DQ50" s="272">
        <f t="shared" si="214"/>
        <v>589.07072999999957</v>
      </c>
      <c r="DR50" s="272">
        <f t="shared" si="214"/>
        <v>7.5549999999999997</v>
      </c>
      <c r="DS50" s="296">
        <f>+DQ50/DR50</f>
        <v>77.970976836532046</v>
      </c>
      <c r="DT50" s="277">
        <f>+DU50*DV50</f>
        <v>2265.2763299999997</v>
      </c>
      <c r="DU50" s="277">
        <v>26.318999999999999</v>
      </c>
      <c r="DV50" s="297">
        <v>86.07</v>
      </c>
      <c r="DW50" s="99"/>
      <c r="DX50" s="99"/>
      <c r="DY50" s="298"/>
      <c r="DZ50" s="99"/>
      <c r="EA50" s="99"/>
      <c r="EB50" s="298"/>
      <c r="EC50" s="99"/>
      <c r="ED50" s="99"/>
      <c r="EE50" s="298"/>
      <c r="EF50" s="99"/>
      <c r="EG50" s="99"/>
      <c r="EH50" s="298"/>
      <c r="EI50" s="282"/>
      <c r="EJ50" s="282"/>
      <c r="EK50" s="299"/>
      <c r="EL50" s="344">
        <v>93.17</v>
      </c>
      <c r="EM50" s="344">
        <v>4.37</v>
      </c>
      <c r="EN50" s="344">
        <v>9.56</v>
      </c>
      <c r="EO50" s="74">
        <v>5.21</v>
      </c>
      <c r="EP50" s="74">
        <v>4.6100000000000003</v>
      </c>
      <c r="EQ50" s="74">
        <v>3.96</v>
      </c>
      <c r="ER50" s="74">
        <v>3.8</v>
      </c>
      <c r="ES50" s="74">
        <v>11.19</v>
      </c>
      <c r="ET50" s="74">
        <v>10.15</v>
      </c>
      <c r="EU50" s="74">
        <v>9.83</v>
      </c>
      <c r="EV50" s="74">
        <v>7.41</v>
      </c>
      <c r="EW50" s="74">
        <v>98.68</v>
      </c>
      <c r="EX50" s="74">
        <v>103.35</v>
      </c>
      <c r="EY50" s="74">
        <v>97.87</v>
      </c>
      <c r="EZ50" s="74">
        <v>73.209999999999994</v>
      </c>
    </row>
    <row r="51" spans="1:156" ht="26.25" customHeight="1" x14ac:dyDescent="0.3">
      <c r="A51" s="43" t="s">
        <v>308</v>
      </c>
      <c r="B51" s="43" t="s">
        <v>309</v>
      </c>
      <c r="C51" s="53">
        <v>2015</v>
      </c>
      <c r="D51" s="52">
        <v>106.98699999999999</v>
      </c>
      <c r="E51" s="52">
        <v>34.457000000000001</v>
      </c>
      <c r="F51" s="52">
        <v>0</v>
      </c>
      <c r="G51" s="52">
        <f t="shared" si="0"/>
        <v>52.288166666666669</v>
      </c>
      <c r="H51" s="52">
        <f t="shared" si="1"/>
        <v>313.72900000000004</v>
      </c>
      <c r="I51" s="52">
        <v>0</v>
      </c>
      <c r="J51" s="52">
        <v>0</v>
      </c>
      <c r="K51" s="52">
        <v>0</v>
      </c>
      <c r="L51" s="52">
        <f t="shared" si="168"/>
        <v>0</v>
      </c>
      <c r="M51" s="52">
        <f t="shared" si="169"/>
        <v>0</v>
      </c>
      <c r="N51" s="52">
        <f t="shared" si="170"/>
        <v>52.288166666666669</v>
      </c>
      <c r="O51" s="52">
        <f>H51+M51</f>
        <v>313.72900000000004</v>
      </c>
      <c r="P51" s="54">
        <f t="shared" si="172"/>
        <v>1</v>
      </c>
      <c r="Q51" s="54">
        <f t="shared" si="215"/>
        <v>0.34101724736954497</v>
      </c>
      <c r="R51" s="54">
        <f t="shared" si="173"/>
        <v>0.65898275263045492</v>
      </c>
      <c r="S51" s="54">
        <f t="shared" si="174"/>
        <v>0</v>
      </c>
      <c r="T51" s="208">
        <v>163.904</v>
      </c>
      <c r="U51" s="208">
        <v>0</v>
      </c>
      <c r="V51" s="208">
        <v>607.43399999999997</v>
      </c>
      <c r="W51" s="52">
        <f>+T51*6+U51*6+V51</f>
        <v>1590.8579999999999</v>
      </c>
      <c r="X51" s="52">
        <f t="shared" si="178"/>
        <v>29.003999999999905</v>
      </c>
      <c r="Y51" s="52">
        <f t="shared" si="179"/>
        <v>265.14299999999997</v>
      </c>
      <c r="Z51" s="52">
        <f t="shared" si="182"/>
        <v>4.8339999999999463</v>
      </c>
      <c r="AA51" s="205">
        <f t="shared" si="210"/>
        <v>1.8570237679065824E-2</v>
      </c>
      <c r="AB51" s="44"/>
      <c r="AC51" s="45">
        <v>-344.26799999999997</v>
      </c>
      <c r="AD51" s="45">
        <v>359.161</v>
      </c>
      <c r="AE51" s="45">
        <v>27.722000000000001</v>
      </c>
      <c r="AF51" s="45">
        <v>0</v>
      </c>
      <c r="AG51" s="55">
        <f>SUM(AC51:AF51)</f>
        <v>42.61500000000003</v>
      </c>
      <c r="AH51" s="45">
        <v>-71.453000000000003</v>
      </c>
      <c r="AI51" s="45">
        <v>97.207999999999998</v>
      </c>
      <c r="AJ51" s="45">
        <v>7.0830000000000002</v>
      </c>
      <c r="AK51" s="45">
        <v>0</v>
      </c>
      <c r="AL51" s="55">
        <f t="shared" si="216"/>
        <v>32.837999999999994</v>
      </c>
      <c r="AM51" s="45">
        <v>0</v>
      </c>
      <c r="AN51" s="45">
        <v>0</v>
      </c>
      <c r="AO51" s="45">
        <v>0</v>
      </c>
      <c r="AP51" s="45">
        <v>0</v>
      </c>
      <c r="AQ51" s="55">
        <f>SUM(AM51:AP51)</f>
        <v>0</v>
      </c>
      <c r="AR51" s="55">
        <f t="shared" si="176"/>
        <v>239.643</v>
      </c>
      <c r="AS51" s="55">
        <f t="shared" si="177"/>
        <v>39.9405</v>
      </c>
      <c r="AT51" s="46">
        <v>206.214</v>
      </c>
      <c r="AU51" s="46">
        <v>57.19</v>
      </c>
      <c r="AV51" s="46">
        <f>1122.587-1.82</f>
        <v>1120.7670000000001</v>
      </c>
      <c r="AW51" s="46">
        <f>709.088+9.084</f>
        <v>718.17199999999991</v>
      </c>
      <c r="AX51" s="50">
        <f t="shared" si="164"/>
        <v>2102.3429999999998</v>
      </c>
      <c r="AY51" s="52">
        <f>SUM(AX49:AX51)</f>
        <v>6889.8410000000003</v>
      </c>
      <c r="AZ51" s="52">
        <f t="shared" si="184"/>
        <v>304.44549999999998</v>
      </c>
      <c r="BA51" s="52">
        <f t="shared" si="185"/>
        <v>1826.6730000000002</v>
      </c>
      <c r="BB51" s="50">
        <f>AY51/AZ51</f>
        <v>22.630786134135668</v>
      </c>
      <c r="BC51" s="50">
        <f>AY51/BA51</f>
        <v>3.7717976890226108</v>
      </c>
      <c r="BD51" s="44"/>
      <c r="BE51" s="47">
        <f>541.359-BN51</f>
        <v>389.70400000000006</v>
      </c>
      <c r="BF51" s="48"/>
      <c r="BG51" s="48">
        <v>230.73400000000001</v>
      </c>
      <c r="BH51" s="47">
        <f t="shared" si="188"/>
        <v>230.73400000000001</v>
      </c>
      <c r="BI51" s="48"/>
      <c r="BJ51" s="48">
        <v>3.95</v>
      </c>
      <c r="BK51" s="47">
        <f t="shared" si="211"/>
        <v>3.95</v>
      </c>
      <c r="BL51" s="48"/>
      <c r="BM51" s="48">
        <f>22.921+128.734</f>
        <v>151.655</v>
      </c>
      <c r="BN51" s="47">
        <f t="shared" si="189"/>
        <v>151.655</v>
      </c>
      <c r="BO51" s="48"/>
      <c r="BP51" s="48">
        <v>211.44300000000001</v>
      </c>
      <c r="BQ51" s="47">
        <f t="shared" si="212"/>
        <v>211.44300000000001</v>
      </c>
      <c r="BR51" s="48">
        <v>1803.5730000000001</v>
      </c>
      <c r="BS51" s="48">
        <v>1803.5730000000001</v>
      </c>
      <c r="BT51" s="202">
        <f t="shared" si="190"/>
        <v>1</v>
      </c>
      <c r="BU51" s="49">
        <f t="shared" si="191"/>
        <v>987.4860000000001</v>
      </c>
      <c r="BV51" s="50">
        <f t="shared" si="192"/>
        <v>18.885458468933379</v>
      </c>
      <c r="BW51" s="50">
        <f t="shared" si="193"/>
        <v>3.1475764114888962</v>
      </c>
      <c r="BX51" s="44"/>
      <c r="BY51" s="91">
        <f t="shared" si="194"/>
        <v>3089.8289999999997</v>
      </c>
      <c r="BZ51" s="56">
        <f>(BY51*0.1)</f>
        <v>308.98289999999997</v>
      </c>
      <c r="CA51" s="141">
        <f t="shared" si="196"/>
        <v>0.14697073693493401</v>
      </c>
      <c r="CB51" s="56">
        <f t="shared" si="197"/>
        <v>5.9092318529686443</v>
      </c>
      <c r="CC51" s="56">
        <f t="shared" si="198"/>
        <v>0.9848719754947739</v>
      </c>
      <c r="CD51" s="56">
        <f t="shared" si="199"/>
        <v>40.206860060753066</v>
      </c>
      <c r="CE51" s="56">
        <f t="shared" si="200"/>
        <v>6.7011433434588437</v>
      </c>
      <c r="CF51" s="56">
        <f t="shared" si="201"/>
        <v>41.516244603069048</v>
      </c>
      <c r="CG51" s="56">
        <f>CB51+CF51</f>
        <v>47.425476456037693</v>
      </c>
      <c r="CH51" s="56">
        <f>CF51+CD51</f>
        <v>81.723104663822113</v>
      </c>
      <c r="CI51" s="56">
        <f t="shared" si="204"/>
        <v>6.919374100511507</v>
      </c>
      <c r="CJ51" s="56">
        <f>+CI51+CC51</f>
        <v>7.9042460760062809</v>
      </c>
      <c r="CK51" s="56">
        <f>+CI51+CE51</f>
        <v>13.62051744397035</v>
      </c>
      <c r="CL51" s="51">
        <v>4</v>
      </c>
      <c r="CM51" s="56">
        <f t="shared" si="207"/>
        <v>4.1516244603069046</v>
      </c>
      <c r="CN51" s="56">
        <f t="shared" si="208"/>
        <v>217.08083171793749</v>
      </c>
      <c r="CO51" s="173">
        <f t="shared" si="209"/>
        <v>0.10325661974184874</v>
      </c>
      <c r="CP51" s="174">
        <v>116.19799999999999</v>
      </c>
      <c r="CQ51" s="328"/>
      <c r="CR51" s="169"/>
      <c r="CS51" s="270">
        <f>+CT51*CU51</f>
        <v>70.793800000000005</v>
      </c>
      <c r="CT51" s="269">
        <v>22.984999999999999</v>
      </c>
      <c r="CU51" s="133">
        <v>3.08</v>
      </c>
      <c r="CV51" s="269">
        <f>+CW51*CX51</f>
        <v>75.695040000000006</v>
      </c>
      <c r="CW51" s="269">
        <v>26.283000000000001</v>
      </c>
      <c r="CX51" s="133">
        <v>2.88</v>
      </c>
      <c r="CY51" s="269">
        <f>+CZ51*DA51</f>
        <v>79.913879999999992</v>
      </c>
      <c r="CZ51" s="269">
        <v>28.745999999999999</v>
      </c>
      <c r="DA51" s="133">
        <v>2.78</v>
      </c>
      <c r="DB51" s="269">
        <f t="shared" si="213"/>
        <v>73.160879999999949</v>
      </c>
      <c r="DC51" s="269">
        <f t="shared" si="213"/>
        <v>28.972999999999995</v>
      </c>
      <c r="DD51" s="133">
        <f>+DB51/DC51</f>
        <v>2.5251399578918288</v>
      </c>
      <c r="DE51" s="274">
        <f>+DF51*DG51</f>
        <v>299.56359999999995</v>
      </c>
      <c r="DF51" s="274">
        <v>106.98699999999999</v>
      </c>
      <c r="DG51" s="273">
        <v>2.8</v>
      </c>
      <c r="DH51" s="272">
        <f>+DI51*DJ51</f>
        <v>509.77120000000008</v>
      </c>
      <c r="DI51" s="272">
        <v>8.0660000000000007</v>
      </c>
      <c r="DJ51" s="296">
        <v>63.2</v>
      </c>
      <c r="DK51" s="272">
        <f>+DL51*DM51</f>
        <v>574.01036000000011</v>
      </c>
      <c r="DL51" s="272">
        <v>9.0310000000000006</v>
      </c>
      <c r="DM51" s="296">
        <v>63.56</v>
      </c>
      <c r="DN51" s="272">
        <f>+DO51*DP51</f>
        <v>547.70235000000002</v>
      </c>
      <c r="DO51" s="272">
        <v>8.9450000000000003</v>
      </c>
      <c r="DP51" s="296">
        <v>61.23</v>
      </c>
      <c r="DQ51" s="272">
        <f t="shared" si="214"/>
        <v>505.88379999999978</v>
      </c>
      <c r="DR51" s="272">
        <f t="shared" si="214"/>
        <v>8.4150000000000009</v>
      </c>
      <c r="DS51" s="296">
        <f>+DQ51/DR51</f>
        <v>60.116910279263188</v>
      </c>
      <c r="DT51" s="277">
        <f>+DU51*DV51</f>
        <v>2137.36771</v>
      </c>
      <c r="DU51" s="277">
        <v>34.457000000000001</v>
      </c>
      <c r="DV51" s="297">
        <v>62.03</v>
      </c>
      <c r="DW51" s="99"/>
      <c r="DX51" s="99"/>
      <c r="DY51" s="298"/>
      <c r="DZ51" s="99"/>
      <c r="EA51" s="99"/>
      <c r="EB51" s="298"/>
      <c r="EC51" s="99"/>
      <c r="ED51" s="99"/>
      <c r="EE51" s="298"/>
      <c r="EF51" s="99"/>
      <c r="EG51" s="99"/>
      <c r="EH51" s="298"/>
      <c r="EI51" s="282"/>
      <c r="EJ51" s="282"/>
      <c r="EK51" s="299"/>
      <c r="EL51" s="344">
        <v>48.66</v>
      </c>
      <c r="EM51" s="344">
        <v>2.62</v>
      </c>
      <c r="EN51" s="344">
        <v>4.97</v>
      </c>
      <c r="EO51" s="331">
        <v>2.9</v>
      </c>
      <c r="EP51" s="331">
        <v>2.75</v>
      </c>
      <c r="EQ51" s="331">
        <v>2.76</v>
      </c>
      <c r="ER51" s="331">
        <v>2.12</v>
      </c>
      <c r="ES51" s="331">
        <v>5.43</v>
      </c>
      <c r="ET51" s="331">
        <v>5.2</v>
      </c>
      <c r="EU51" s="331">
        <v>4.68</v>
      </c>
      <c r="EV51" s="331">
        <v>4.5999999999999996</v>
      </c>
      <c r="EW51" s="331">
        <v>48.49</v>
      </c>
      <c r="EX51" s="331">
        <v>57.85</v>
      </c>
      <c r="EY51" s="331">
        <v>46.64</v>
      </c>
      <c r="EZ51" s="331">
        <v>41.94</v>
      </c>
    </row>
    <row r="52" spans="1:156" ht="26.25" customHeight="1" x14ac:dyDescent="0.3">
      <c r="A52" s="228" t="s">
        <v>308</v>
      </c>
      <c r="B52" s="228" t="s">
        <v>309</v>
      </c>
      <c r="C52" s="229">
        <v>2016</v>
      </c>
      <c r="D52" s="216">
        <v>127.48099999999999</v>
      </c>
      <c r="E52" s="216">
        <v>33.840000000000003</v>
      </c>
      <c r="F52" s="216">
        <v>0</v>
      </c>
      <c r="G52" s="216">
        <f t="shared" si="0"/>
        <v>55.086833333333331</v>
      </c>
      <c r="H52" s="216">
        <f t="shared" si="1"/>
        <v>330.52100000000002</v>
      </c>
      <c r="I52" s="216">
        <v>0</v>
      </c>
      <c r="J52" s="216">
        <v>0</v>
      </c>
      <c r="K52" s="216">
        <v>0</v>
      </c>
      <c r="L52" s="216">
        <f t="shared" si="168"/>
        <v>0</v>
      </c>
      <c r="M52" s="216">
        <f t="shared" si="169"/>
        <v>0</v>
      </c>
      <c r="N52" s="216">
        <f t="shared" si="170"/>
        <v>55.086833333333331</v>
      </c>
      <c r="O52" s="216">
        <f>H52+M52</f>
        <v>330.52100000000002</v>
      </c>
      <c r="P52" s="302">
        <f t="shared" si="172"/>
        <v>1</v>
      </c>
      <c r="Q52" s="302">
        <f t="shared" si="215"/>
        <v>0.38569712665761025</v>
      </c>
      <c r="R52" s="302">
        <f t="shared" si="173"/>
        <v>0.61430287334238987</v>
      </c>
      <c r="S52" s="302">
        <f t="shared" si="174"/>
        <v>0</v>
      </c>
      <c r="T52" s="209">
        <v>160.83199999999999</v>
      </c>
      <c r="U52" s="209">
        <v>0</v>
      </c>
      <c r="V52" s="209">
        <v>561.26199999999994</v>
      </c>
      <c r="W52" s="216">
        <f>+T52*6+U52*6+V52</f>
        <v>1526.2539999999999</v>
      </c>
      <c r="X52" s="216">
        <f>W52-W51</f>
        <v>-64.604000000000042</v>
      </c>
      <c r="Y52" s="216">
        <f>+T52+U52+V52/6</f>
        <v>254.37566666666663</v>
      </c>
      <c r="Z52" s="216">
        <f>Y52-Y51</f>
        <v>-10.76733333333334</v>
      </c>
      <c r="AA52" s="206">
        <f>+Z52/Y51</f>
        <v>-4.0609532717565018E-2</v>
      </c>
      <c r="AB52" s="230"/>
      <c r="AC52" s="231">
        <v>4.3760000000000003</v>
      </c>
      <c r="AD52" s="231">
        <v>156.928</v>
      </c>
      <c r="AE52" s="231">
        <v>108.48399999999999</v>
      </c>
      <c r="AF52" s="231">
        <v>0</v>
      </c>
      <c r="AG52" s="303">
        <f>SUM(AC52:AF52)</f>
        <v>269.78800000000001</v>
      </c>
      <c r="AH52" s="231">
        <v>-24.721</v>
      </c>
      <c r="AI52" s="231">
        <v>83.617000000000004</v>
      </c>
      <c r="AJ52" s="231">
        <v>40.991999999999997</v>
      </c>
      <c r="AK52" s="231">
        <v>0</v>
      </c>
      <c r="AL52" s="303">
        <f t="shared" si="216"/>
        <v>99.888000000000005</v>
      </c>
      <c r="AM52" s="231">
        <v>0</v>
      </c>
      <c r="AN52" s="231">
        <v>0</v>
      </c>
      <c r="AO52" s="231">
        <v>0</v>
      </c>
      <c r="AP52" s="231">
        <v>0</v>
      </c>
      <c r="AQ52" s="303">
        <f>SUM(AM52:AP52)</f>
        <v>0</v>
      </c>
      <c r="AR52" s="303">
        <f t="shared" si="176"/>
        <v>869.11599999999999</v>
      </c>
      <c r="AS52" s="303">
        <f t="shared" si="177"/>
        <v>144.85266666666666</v>
      </c>
      <c r="AT52" s="232">
        <v>1154.423</v>
      </c>
      <c r="AU52" s="232">
        <v>981.85500000000002</v>
      </c>
      <c r="AV52" s="232">
        <f>701.3-1.067</f>
        <v>700.23299999999995</v>
      </c>
      <c r="AW52" s="232">
        <f>448.409-1.046</f>
        <v>447.363</v>
      </c>
      <c r="AX52" s="215">
        <f>SUM(AT52:AW52)</f>
        <v>3283.8740000000003</v>
      </c>
      <c r="AY52" s="216">
        <f>SUM(AX50:AX52)</f>
        <v>8320.594000000001</v>
      </c>
      <c r="AZ52" s="216">
        <f>SUM(AS50:AS52)</f>
        <v>359.92899999999997</v>
      </c>
      <c r="BA52" s="216">
        <f>SUM(AR50:AR52)</f>
        <v>2159.5740000000001</v>
      </c>
      <c r="BB52" s="215">
        <f>AY52/AZ52</f>
        <v>23.117320360404417</v>
      </c>
      <c r="BC52" s="215">
        <f>AY52/BA52</f>
        <v>3.8528867267340692</v>
      </c>
      <c r="BD52" s="230"/>
      <c r="BE52" s="212">
        <f>451.304-BN52</f>
        <v>319.85399999999993</v>
      </c>
      <c r="BF52" s="200"/>
      <c r="BG52" s="200">
        <v>225.565</v>
      </c>
      <c r="BH52" s="212">
        <f t="shared" si="188"/>
        <v>225.565</v>
      </c>
      <c r="BI52" s="200"/>
      <c r="BJ52" s="200">
        <v>0</v>
      </c>
      <c r="BK52" s="212">
        <f>IF(BJ52=0,BI52*$BT52,BJ52)</f>
        <v>0</v>
      </c>
      <c r="BL52" s="200"/>
      <c r="BM52" s="200">
        <f>14.017+117.433</f>
        <v>131.45000000000002</v>
      </c>
      <c r="BN52" s="212">
        <f t="shared" si="189"/>
        <v>131.45000000000002</v>
      </c>
      <c r="BO52" s="200"/>
      <c r="BP52" s="200">
        <v>232.173</v>
      </c>
      <c r="BQ52" s="212">
        <f>IF(BP52=0,BO52*$BT52,BP52)</f>
        <v>232.173</v>
      </c>
      <c r="BR52" s="200">
        <v>1634.9880000000001</v>
      </c>
      <c r="BS52" s="200">
        <v>1634.9880000000001</v>
      </c>
      <c r="BT52" s="203">
        <f>+P52*BR52/BS52</f>
        <v>1</v>
      </c>
      <c r="BU52" s="220">
        <f>BQ52+BN52+BK52+BH52+BE52</f>
        <v>909.04200000000003</v>
      </c>
      <c r="BV52" s="215">
        <f>BU52/G52</f>
        <v>16.501983232532883</v>
      </c>
      <c r="BW52" s="215">
        <f>BU52/H52</f>
        <v>2.7503305387554802</v>
      </c>
      <c r="BX52" s="230"/>
      <c r="BY52" s="304">
        <f>BU52+AX52</f>
        <v>4192.9160000000002</v>
      </c>
      <c r="BZ52" s="305">
        <f>(BY52*0.1)</f>
        <v>419.29160000000002</v>
      </c>
      <c r="CA52" s="306">
        <f>+BZ52/AX52</f>
        <v>0.12768199997929275</v>
      </c>
      <c r="CB52" s="305">
        <f>BZ52/G52</f>
        <v>7.6114667449269495</v>
      </c>
      <c r="CC52" s="305">
        <f>BZ52/H52</f>
        <v>1.2685777908211582</v>
      </c>
      <c r="CD52" s="305">
        <f>+$AX52/G52</f>
        <v>59.612684216736611</v>
      </c>
      <c r="CE52" s="305">
        <f>+$AX52/H52</f>
        <v>9.9354473694561012</v>
      </c>
      <c r="CF52" s="305">
        <f>BB52+BV52</f>
        <v>39.6193035929373</v>
      </c>
      <c r="CG52" s="305">
        <f>CB52+CF52</f>
        <v>47.23077033786425</v>
      </c>
      <c r="CH52" s="305">
        <f>CF52+CD52</f>
        <v>99.23198780967391</v>
      </c>
      <c r="CI52" s="305">
        <f>+BC52+BW52</f>
        <v>6.6032172654895493</v>
      </c>
      <c r="CJ52" s="305">
        <f>+CI52+CC52</f>
        <v>7.8717950563107077</v>
      </c>
      <c r="CK52" s="305">
        <f>+CI52+CE52</f>
        <v>16.538664634945651</v>
      </c>
      <c r="CL52" s="307">
        <v>5</v>
      </c>
      <c r="CM52" s="305">
        <f>+CF52/10</f>
        <v>3.9619303592937301</v>
      </c>
      <c r="CN52" s="305">
        <f>+CM52*G52</f>
        <v>218.25019738068715</v>
      </c>
      <c r="CO52" s="308">
        <f>+CN52/AX52</f>
        <v>6.6461197165508523E-2</v>
      </c>
      <c r="CP52" s="309">
        <v>151.148</v>
      </c>
      <c r="CQ52" s="329"/>
      <c r="CR52" s="325"/>
      <c r="CS52" s="312">
        <f>+CT52*CU52</f>
        <v>48.22475</v>
      </c>
      <c r="CT52" s="313">
        <v>27.556999999999999</v>
      </c>
      <c r="CU52" s="314">
        <v>1.75</v>
      </c>
      <c r="CV52" s="313">
        <f>+CW52*CX52</f>
        <v>64.824420000000003</v>
      </c>
      <c r="CW52" s="313">
        <v>30.434000000000001</v>
      </c>
      <c r="CX52" s="314">
        <v>2.13</v>
      </c>
      <c r="CY52" s="313">
        <f>+CZ52*DA52</f>
        <v>83.876159999999985</v>
      </c>
      <c r="CZ52" s="313">
        <v>34.095999999999997</v>
      </c>
      <c r="DA52" s="314">
        <v>2.46</v>
      </c>
      <c r="DB52" s="313">
        <f t="shared" si="213"/>
        <v>103.92982999999997</v>
      </c>
      <c r="DC52" s="313">
        <f t="shared" si="213"/>
        <v>35.393999999999998</v>
      </c>
      <c r="DD52" s="314">
        <f>+DB52/DC52</f>
        <v>2.9363685935469279</v>
      </c>
      <c r="DE52" s="315">
        <f>+DF52*DG52</f>
        <v>300.85515999999996</v>
      </c>
      <c r="DF52" s="315">
        <v>127.48099999999999</v>
      </c>
      <c r="DG52" s="316">
        <v>2.36</v>
      </c>
      <c r="DH52" s="317">
        <f>+DI52*DJ52</f>
        <v>493.28999999999996</v>
      </c>
      <c r="DI52" s="317">
        <v>8.1</v>
      </c>
      <c r="DJ52" s="318">
        <v>60.9</v>
      </c>
      <c r="DK52" s="317">
        <f>+DL52*DM52</f>
        <v>500.10002000000003</v>
      </c>
      <c r="DL52" s="317">
        <v>8.1370000000000005</v>
      </c>
      <c r="DM52" s="318">
        <v>61.46</v>
      </c>
      <c r="DN52" s="317">
        <f>+DO52*DP52</f>
        <v>501.89020999999991</v>
      </c>
      <c r="DO52" s="317">
        <v>8.3829999999999991</v>
      </c>
      <c r="DP52" s="318">
        <v>59.87</v>
      </c>
      <c r="DQ52" s="317">
        <f t="shared" si="214"/>
        <v>464.05577000000017</v>
      </c>
      <c r="DR52" s="317">
        <f t="shared" si="214"/>
        <v>9.2200000000000042</v>
      </c>
      <c r="DS52" s="318">
        <f>+DQ52/DR52</f>
        <v>50.331428416485892</v>
      </c>
      <c r="DT52" s="319">
        <f>+DU52*DV52</f>
        <v>1959.3360000000002</v>
      </c>
      <c r="DU52" s="319">
        <v>33.840000000000003</v>
      </c>
      <c r="DV52" s="320">
        <v>57.9</v>
      </c>
      <c r="DW52" s="187"/>
      <c r="DX52" s="187"/>
      <c r="DY52" s="321"/>
      <c r="DZ52" s="187"/>
      <c r="EA52" s="187"/>
      <c r="EB52" s="321"/>
      <c r="EC52" s="187"/>
      <c r="ED52" s="187"/>
      <c r="EE52" s="321"/>
      <c r="EF52" s="187"/>
      <c r="EG52" s="187"/>
      <c r="EH52" s="321"/>
      <c r="EI52" s="322"/>
      <c r="EJ52" s="322"/>
      <c r="EK52" s="323"/>
      <c r="EL52" s="345">
        <v>43.2</v>
      </c>
      <c r="EM52" s="345">
        <v>2.52</v>
      </c>
      <c r="EN52" s="345">
        <v>5.04</v>
      </c>
      <c r="EO52" s="332">
        <v>1.99</v>
      </c>
      <c r="EP52" s="332">
        <v>2.15</v>
      </c>
      <c r="EQ52" s="332">
        <v>2.88</v>
      </c>
      <c r="ER52" s="332">
        <v>3.04</v>
      </c>
      <c r="ES52" s="332">
        <v>4.0199999999999996</v>
      </c>
      <c r="ET52" s="332">
        <v>5</v>
      </c>
      <c r="EU52" s="332">
        <v>5.04</v>
      </c>
      <c r="EV52" s="332">
        <v>6.05</v>
      </c>
      <c r="EW52" s="332">
        <v>33.35</v>
      </c>
      <c r="EX52" s="332">
        <v>45.46</v>
      </c>
      <c r="EY52" s="332">
        <v>44.85</v>
      </c>
      <c r="EZ52" s="332">
        <v>49.14</v>
      </c>
    </row>
    <row r="53" spans="1:156" ht="26.25" customHeight="1" x14ac:dyDescent="0.3">
      <c r="A53" s="24" t="s">
        <v>41</v>
      </c>
      <c r="B53" s="24" t="s">
        <v>42</v>
      </c>
      <c r="C53" s="1">
        <v>2007</v>
      </c>
      <c r="D53" s="25">
        <v>948</v>
      </c>
      <c r="E53" s="25">
        <v>166</v>
      </c>
      <c r="F53" s="25">
        <v>0</v>
      </c>
      <c r="G53" s="25">
        <f t="shared" si="0"/>
        <v>324</v>
      </c>
      <c r="H53" s="25">
        <f t="shared" si="1"/>
        <v>1944</v>
      </c>
      <c r="I53" s="25">
        <f>2007-D53</f>
        <v>1059</v>
      </c>
      <c r="J53" s="25">
        <f>334-E53</f>
        <v>168</v>
      </c>
      <c r="K53" s="25">
        <v>0</v>
      </c>
      <c r="L53" s="25">
        <f t="shared" si="2"/>
        <v>344.5</v>
      </c>
      <c r="M53" s="25">
        <f t="shared" si="3"/>
        <v>2067</v>
      </c>
      <c r="N53" s="25">
        <f t="shared" si="95"/>
        <v>668.5</v>
      </c>
      <c r="O53" s="25">
        <f t="shared" si="95"/>
        <v>4011</v>
      </c>
      <c r="P53" s="26">
        <f t="shared" si="5"/>
        <v>0.48466716529543757</v>
      </c>
      <c r="Q53" s="26">
        <f t="shared" si="215"/>
        <v>0.48765432098765432</v>
      </c>
      <c r="R53" s="26">
        <f t="shared" si="12"/>
        <v>0.51234567901234573</v>
      </c>
      <c r="S53" s="26">
        <f t="shared" si="13"/>
        <v>0</v>
      </c>
      <c r="T53" s="207">
        <v>247</v>
      </c>
      <c r="U53" s="207">
        <v>0</v>
      </c>
      <c r="V53" s="207">
        <v>1873</v>
      </c>
      <c r="W53" s="25">
        <f t="shared" ref="W53:W60" si="217">+T53*6+U53*6+V53</f>
        <v>3355</v>
      </c>
      <c r="X53" s="25"/>
      <c r="Y53" s="25">
        <f>+T53+U53+V53/6</f>
        <v>559.16666666666674</v>
      </c>
      <c r="Z53" s="25"/>
      <c r="AA53" s="25"/>
      <c r="AB53" s="27"/>
      <c r="AC53" s="28">
        <v>566</v>
      </c>
      <c r="AD53" s="28">
        <v>544</v>
      </c>
      <c r="AE53" s="28">
        <v>30</v>
      </c>
      <c r="AF53" s="28">
        <v>6</v>
      </c>
      <c r="AG53" s="29">
        <f>SUM(AC53:AF53)</f>
        <v>1146</v>
      </c>
      <c r="AH53" s="28">
        <v>75</v>
      </c>
      <c r="AI53" s="28">
        <v>53</v>
      </c>
      <c r="AJ53" s="28">
        <v>0</v>
      </c>
      <c r="AK53" s="28">
        <v>41</v>
      </c>
      <c r="AL53" s="29">
        <f t="shared" si="216"/>
        <v>169</v>
      </c>
      <c r="AM53" s="28">
        <v>0</v>
      </c>
      <c r="AN53" s="28">
        <v>0</v>
      </c>
      <c r="AO53" s="28">
        <v>0</v>
      </c>
      <c r="AP53" s="28">
        <v>0</v>
      </c>
      <c r="AQ53" s="29">
        <f t="shared" ref="AQ53:AQ59" si="218">SUM(AM53:AP53)</f>
        <v>0</v>
      </c>
      <c r="AR53" s="29">
        <f t="shared" si="9"/>
        <v>2160</v>
      </c>
      <c r="AS53" s="29">
        <f t="shared" si="10"/>
        <v>360</v>
      </c>
      <c r="AT53" s="30">
        <v>207</v>
      </c>
      <c r="AU53" s="30">
        <v>42</v>
      </c>
      <c r="AV53" s="30">
        <v>583</v>
      </c>
      <c r="AW53" s="30">
        <v>2942</v>
      </c>
      <c r="AX53" s="31">
        <f t="shared" si="164"/>
        <v>3774</v>
      </c>
      <c r="AY53" s="25"/>
      <c r="AZ53" s="25"/>
      <c r="BA53" s="25"/>
      <c r="BB53" s="31"/>
      <c r="BC53" s="31"/>
      <c r="BD53" s="27"/>
      <c r="BE53" s="32"/>
      <c r="BF53" s="33"/>
      <c r="BG53" s="34"/>
      <c r="BH53" s="32"/>
      <c r="BI53" s="33"/>
      <c r="BJ53" s="34"/>
      <c r="BK53" s="32"/>
      <c r="BL53" s="33"/>
      <c r="BM53" s="34"/>
      <c r="BN53" s="32"/>
      <c r="BO53" s="33"/>
      <c r="BP53" s="34"/>
      <c r="BQ53" s="32"/>
      <c r="BR53" s="34">
        <v>0</v>
      </c>
      <c r="BS53" s="34">
        <v>0</v>
      </c>
      <c r="BT53" s="34"/>
      <c r="BU53" s="35"/>
      <c r="BV53" s="31"/>
      <c r="BW53" s="31"/>
      <c r="BX53" s="27"/>
      <c r="BY53" s="88"/>
      <c r="BZ53" s="36"/>
      <c r="CA53" s="36"/>
      <c r="CB53" s="36"/>
      <c r="CC53" s="36"/>
      <c r="CD53" s="36"/>
      <c r="CE53" s="36"/>
      <c r="CF53" s="36"/>
      <c r="CG53" s="36"/>
      <c r="CH53" s="36"/>
      <c r="CI53" s="36"/>
      <c r="CJ53" s="36"/>
      <c r="CK53" s="36"/>
      <c r="CL53" s="37">
        <v>4</v>
      </c>
      <c r="CM53" s="37"/>
      <c r="CN53" s="37"/>
      <c r="CO53" s="37"/>
      <c r="CP53" s="327"/>
      <c r="CQ53" s="327"/>
      <c r="CS53" s="293"/>
      <c r="CT53" s="227"/>
      <c r="CU53" s="227"/>
      <c r="CV53" s="227"/>
      <c r="CW53" s="227"/>
      <c r="CX53" s="227"/>
      <c r="CY53" s="227"/>
      <c r="CZ53" s="227"/>
      <c r="DA53" s="227"/>
      <c r="DB53" s="227"/>
      <c r="DC53" s="227"/>
      <c r="DD53" s="227"/>
      <c r="DE53" s="275"/>
      <c r="DF53" s="275"/>
      <c r="DG53" s="275"/>
      <c r="DH53" s="226"/>
      <c r="DI53" s="226"/>
      <c r="DJ53" s="226"/>
      <c r="DK53" s="226"/>
      <c r="DL53" s="226"/>
      <c r="DM53" s="226"/>
      <c r="DN53" s="226"/>
      <c r="DO53" s="226"/>
      <c r="DP53" s="226"/>
      <c r="DQ53" s="226"/>
      <c r="DR53" s="226"/>
      <c r="DS53" s="226"/>
      <c r="DT53" s="278"/>
      <c r="DU53" s="278"/>
      <c r="DV53" s="278"/>
      <c r="DW53" s="280"/>
      <c r="DX53" s="280"/>
      <c r="DY53" s="280"/>
      <c r="DZ53" s="280"/>
      <c r="EA53" s="280"/>
      <c r="EB53" s="280"/>
      <c r="EC53" s="280"/>
      <c r="ED53" s="280"/>
      <c r="EE53" s="280"/>
      <c r="EF53" s="280"/>
      <c r="EG53" s="280"/>
      <c r="EH53" s="280"/>
      <c r="EI53" s="283"/>
      <c r="EJ53" s="283"/>
      <c r="EK53" s="294"/>
      <c r="EL53" s="343">
        <v>72.34</v>
      </c>
      <c r="EM53" s="343">
        <v>6.97</v>
      </c>
      <c r="EN53" s="343">
        <v>12.91</v>
      </c>
      <c r="EO53" s="116"/>
      <c r="EP53" s="116"/>
      <c r="EQ53" s="116"/>
      <c r="ER53" s="116"/>
      <c r="ES53" s="116"/>
      <c r="ET53" s="116"/>
      <c r="EU53" s="116"/>
      <c r="EV53" s="116"/>
      <c r="EW53" s="116"/>
      <c r="EX53" s="116"/>
      <c r="EY53" s="116"/>
      <c r="EZ53" s="116"/>
    </row>
    <row r="54" spans="1:156" ht="26.25" customHeight="1" x14ac:dyDescent="0.3">
      <c r="A54" s="24" t="s">
        <v>41</v>
      </c>
      <c r="B54" s="24" t="s">
        <v>42</v>
      </c>
      <c r="C54" s="1">
        <v>2008</v>
      </c>
      <c r="D54" s="25">
        <v>869</v>
      </c>
      <c r="E54" s="25">
        <v>157</v>
      </c>
      <c r="F54" s="25">
        <v>0</v>
      </c>
      <c r="G54" s="25">
        <f t="shared" si="0"/>
        <v>301.83333333333337</v>
      </c>
      <c r="H54" s="25">
        <f t="shared" si="1"/>
        <v>1811</v>
      </c>
      <c r="I54" s="25">
        <f>1977-D54</f>
        <v>1108</v>
      </c>
      <c r="J54" s="25">
        <f>328-E54+2</f>
        <v>173</v>
      </c>
      <c r="K54" s="25">
        <v>0</v>
      </c>
      <c r="L54" s="25">
        <f t="shared" si="2"/>
        <v>357.66666666666663</v>
      </c>
      <c r="M54" s="25">
        <f t="shared" si="3"/>
        <v>2146</v>
      </c>
      <c r="N54" s="25">
        <f t="shared" si="95"/>
        <v>659.5</v>
      </c>
      <c r="O54" s="25">
        <f t="shared" si="95"/>
        <v>3957</v>
      </c>
      <c r="P54" s="26">
        <f t="shared" si="5"/>
        <v>0.45766995198382615</v>
      </c>
      <c r="Q54" s="26">
        <f t="shared" si="215"/>
        <v>0.47984538928768639</v>
      </c>
      <c r="R54" s="26">
        <f t="shared" si="12"/>
        <v>0.52015461071231361</v>
      </c>
      <c r="S54" s="26">
        <f t="shared" si="13"/>
        <v>0</v>
      </c>
      <c r="T54" s="207">
        <v>252</v>
      </c>
      <c r="U54" s="207">
        <v>0</v>
      </c>
      <c r="V54" s="207">
        <v>1632</v>
      </c>
      <c r="W54" s="25">
        <f t="shared" si="217"/>
        <v>3144</v>
      </c>
      <c r="X54" s="25">
        <f t="shared" ref="X54:X62" si="219">W54-W53</f>
        <v>-211</v>
      </c>
      <c r="Y54" s="25">
        <f t="shared" ref="Y54:Y61" si="220">+T54+U54+V54/6</f>
        <v>524</v>
      </c>
      <c r="Z54" s="25">
        <f t="shared" ref="Z54:Z62" si="221">Y54-Y53</f>
        <v>-35.166666666666742</v>
      </c>
      <c r="AA54" s="204">
        <f>+Z54/Y53</f>
        <v>-6.2891207153502368E-2</v>
      </c>
      <c r="AB54" s="27"/>
      <c r="AC54" s="28">
        <v>-1122</v>
      </c>
      <c r="AD54" s="28">
        <v>275</v>
      </c>
      <c r="AE54" s="28">
        <v>13</v>
      </c>
      <c r="AF54" s="28">
        <v>17</v>
      </c>
      <c r="AG54" s="29">
        <f t="shared" si="17"/>
        <v>-817</v>
      </c>
      <c r="AH54" s="28">
        <v>-223</v>
      </c>
      <c r="AI54" s="28">
        <v>38</v>
      </c>
      <c r="AJ54" s="28">
        <v>0</v>
      </c>
      <c r="AK54" s="28">
        <v>28</v>
      </c>
      <c r="AL54" s="29">
        <f t="shared" si="216"/>
        <v>-157</v>
      </c>
      <c r="AM54" s="28">
        <v>0</v>
      </c>
      <c r="AN54" s="28">
        <v>0</v>
      </c>
      <c r="AO54" s="28">
        <v>0</v>
      </c>
      <c r="AP54" s="28">
        <v>0</v>
      </c>
      <c r="AQ54" s="29">
        <f t="shared" si="218"/>
        <v>0</v>
      </c>
      <c r="AR54" s="29">
        <f t="shared" si="9"/>
        <v>-1759</v>
      </c>
      <c r="AS54" s="29">
        <f t="shared" si="10"/>
        <v>-293.16666666666663</v>
      </c>
      <c r="AT54" s="30">
        <v>1019</v>
      </c>
      <c r="AU54" s="30">
        <v>37</v>
      </c>
      <c r="AV54" s="30">
        <v>857</v>
      </c>
      <c r="AW54" s="30">
        <v>3281</v>
      </c>
      <c r="AX54" s="31">
        <f t="shared" si="164"/>
        <v>5194</v>
      </c>
      <c r="AY54" s="25"/>
      <c r="AZ54" s="25"/>
      <c r="BA54" s="25"/>
      <c r="BC54" s="31"/>
      <c r="BD54" s="27"/>
      <c r="BE54" s="32"/>
      <c r="BF54" s="33"/>
      <c r="BG54" s="34"/>
      <c r="BH54" s="32"/>
      <c r="BI54" s="33"/>
      <c r="BJ54" s="34"/>
      <c r="BK54" s="32"/>
      <c r="BL54" s="33"/>
      <c r="BM54" s="34"/>
      <c r="BN54" s="32"/>
      <c r="BO54" s="33"/>
      <c r="BP54" s="34"/>
      <c r="BQ54" s="32"/>
      <c r="BR54" s="57">
        <v>0</v>
      </c>
      <c r="BS54" s="57">
        <v>0</v>
      </c>
      <c r="BT54" s="57"/>
      <c r="BU54" s="35"/>
      <c r="BV54" s="31"/>
      <c r="BW54" s="31"/>
      <c r="BX54" s="27"/>
      <c r="BY54" s="88"/>
      <c r="BZ54" s="38"/>
      <c r="CA54" s="36"/>
      <c r="CB54" s="38"/>
      <c r="CC54" s="36"/>
      <c r="CD54" s="36"/>
      <c r="CE54" s="36"/>
      <c r="CF54" s="89"/>
      <c r="CG54" s="36"/>
      <c r="CH54" s="36"/>
      <c r="CI54" s="36"/>
      <c r="CJ54" s="36"/>
      <c r="CK54" s="36"/>
      <c r="CL54" s="37">
        <v>4</v>
      </c>
      <c r="CM54" s="37"/>
      <c r="CN54" s="38"/>
      <c r="CO54" s="38"/>
      <c r="CP54" s="327"/>
      <c r="CQ54" s="327"/>
      <c r="CS54" s="271"/>
      <c r="CT54" s="133"/>
      <c r="CU54" s="133"/>
      <c r="CV54" s="133"/>
      <c r="CW54" s="133"/>
      <c r="CX54" s="133"/>
      <c r="CY54" s="133"/>
      <c r="CZ54" s="133"/>
      <c r="DA54" s="133"/>
      <c r="DB54" s="133"/>
      <c r="DC54" s="133"/>
      <c r="DD54" s="133"/>
      <c r="DE54" s="273"/>
      <c r="DF54" s="273"/>
      <c r="DG54" s="273"/>
      <c r="DH54" s="132"/>
      <c r="DI54" s="132"/>
      <c r="DJ54" s="132"/>
      <c r="DK54" s="132"/>
      <c r="DL54" s="132"/>
      <c r="DM54" s="132"/>
      <c r="DN54" s="132"/>
      <c r="DO54" s="132"/>
      <c r="DP54" s="132"/>
      <c r="DQ54" s="132"/>
      <c r="DR54" s="132"/>
      <c r="DS54" s="132"/>
      <c r="DT54" s="276"/>
      <c r="DU54" s="276"/>
      <c r="DV54" s="276"/>
      <c r="DW54" s="279"/>
      <c r="DX54" s="279"/>
      <c r="DY54" s="279"/>
      <c r="DZ54" s="279"/>
      <c r="EA54" s="279"/>
      <c r="EB54" s="279"/>
      <c r="EC54" s="279"/>
      <c r="ED54" s="279"/>
      <c r="EE54" s="279"/>
      <c r="EF54" s="279"/>
      <c r="EG54" s="279"/>
      <c r="EH54" s="279"/>
      <c r="EI54" s="281"/>
      <c r="EJ54" s="281"/>
      <c r="EK54" s="295"/>
      <c r="EL54" s="343">
        <v>99.67</v>
      </c>
      <c r="EM54" s="343">
        <v>8.86</v>
      </c>
      <c r="EN54" s="343">
        <v>15.2</v>
      </c>
      <c r="EO54" s="116"/>
      <c r="EP54" s="116"/>
      <c r="EQ54" s="116"/>
      <c r="ER54" s="116"/>
      <c r="ES54" s="116"/>
      <c r="ET54" s="116"/>
      <c r="EU54" s="116"/>
      <c r="EV54" s="116"/>
      <c r="EW54" s="116"/>
      <c r="EX54" s="116"/>
      <c r="EY54" s="116"/>
      <c r="EZ54" s="116"/>
    </row>
    <row r="55" spans="1:156" ht="26.25" customHeight="1" x14ac:dyDescent="0.3">
      <c r="A55" s="24" t="s">
        <v>41</v>
      </c>
      <c r="B55" s="24" t="s">
        <v>42</v>
      </c>
      <c r="C55" s="1">
        <v>2009</v>
      </c>
      <c r="D55" s="25">
        <v>850</v>
      </c>
      <c r="E55" s="25">
        <v>153</v>
      </c>
      <c r="F55" s="25">
        <v>0</v>
      </c>
      <c r="G55" s="25">
        <f t="shared" si="0"/>
        <v>294.66666666666663</v>
      </c>
      <c r="H55" s="25">
        <f t="shared" si="1"/>
        <v>1768</v>
      </c>
      <c r="I55" s="25">
        <f>1906-D55</f>
        <v>1056</v>
      </c>
      <c r="J55" s="25">
        <f>331-E55+8+2</f>
        <v>188</v>
      </c>
      <c r="K55" s="25">
        <v>0</v>
      </c>
      <c r="L55" s="25">
        <f t="shared" si="2"/>
        <v>364</v>
      </c>
      <c r="M55" s="25">
        <f t="shared" si="3"/>
        <v>2184</v>
      </c>
      <c r="N55" s="25">
        <f t="shared" si="95"/>
        <v>658.66666666666663</v>
      </c>
      <c r="O55" s="25">
        <f t="shared" si="95"/>
        <v>3952</v>
      </c>
      <c r="P55" s="26">
        <f t="shared" si="5"/>
        <v>0.44736842105263158</v>
      </c>
      <c r="Q55" s="26">
        <f t="shared" si="215"/>
        <v>0.48076923076923078</v>
      </c>
      <c r="R55" s="26">
        <f t="shared" si="12"/>
        <v>0.51923076923076927</v>
      </c>
      <c r="S55" s="26">
        <f t="shared" si="13"/>
        <v>0</v>
      </c>
      <c r="T55" s="207">
        <v>116</v>
      </c>
      <c r="U55" s="207">
        <v>101</v>
      </c>
      <c r="V55" s="207">
        <v>1365</v>
      </c>
      <c r="W55" s="25">
        <f t="shared" si="217"/>
        <v>2667</v>
      </c>
      <c r="X55" s="25">
        <f t="shared" si="219"/>
        <v>-477</v>
      </c>
      <c r="Y55" s="25">
        <f t="shared" si="220"/>
        <v>444.5</v>
      </c>
      <c r="Z55" s="25">
        <f t="shared" si="221"/>
        <v>-79.5</v>
      </c>
      <c r="AA55" s="204">
        <f>+Z55/Y54</f>
        <v>-0.15171755725190839</v>
      </c>
      <c r="AB55" s="27"/>
      <c r="AC55" s="28">
        <v>526</v>
      </c>
      <c r="AD55" s="28">
        <v>146</v>
      </c>
      <c r="AE55" s="28">
        <v>0</v>
      </c>
      <c r="AF55" s="28">
        <v>3</v>
      </c>
      <c r="AG55" s="29">
        <f t="shared" si="17"/>
        <v>675</v>
      </c>
      <c r="AH55" s="28">
        <v>85</v>
      </c>
      <c r="AI55" s="28">
        <v>31</v>
      </c>
      <c r="AJ55" s="28">
        <v>0</v>
      </c>
      <c r="AK55" s="28">
        <v>15</v>
      </c>
      <c r="AL55" s="29">
        <f t="shared" si="216"/>
        <v>131</v>
      </c>
      <c r="AM55" s="28">
        <v>0</v>
      </c>
      <c r="AN55" s="28">
        <v>0</v>
      </c>
      <c r="AO55" s="28">
        <v>0</v>
      </c>
      <c r="AP55" s="28">
        <v>0</v>
      </c>
      <c r="AQ55" s="29">
        <f t="shared" si="218"/>
        <v>0</v>
      </c>
      <c r="AR55" s="29">
        <f t="shared" si="9"/>
        <v>1461</v>
      </c>
      <c r="AS55" s="29">
        <f t="shared" si="10"/>
        <v>243.5</v>
      </c>
      <c r="AT55" s="30">
        <v>78</v>
      </c>
      <c r="AU55" s="30">
        <v>7</v>
      </c>
      <c r="AV55" s="30">
        <v>613</v>
      </c>
      <c r="AW55" s="30">
        <v>2516</v>
      </c>
      <c r="AX55" s="31">
        <f t="shared" si="164"/>
        <v>3214</v>
      </c>
      <c r="AY55" s="25">
        <f t="shared" ref="AY55:AY60" si="222">SUM(AX53:AX55)</f>
        <v>12182</v>
      </c>
      <c r="AZ55" s="25">
        <f t="shared" ref="AZ55:AZ61" si="223">SUM(AS53:AS55)</f>
        <v>310.33333333333337</v>
      </c>
      <c r="BA55" s="25">
        <f t="shared" ref="BA55:BA61" si="224">SUM(AR53:AR55)</f>
        <v>1862</v>
      </c>
      <c r="BB55" s="31">
        <f t="shared" ref="BB55:BB60" si="225">AY55/AZ55</f>
        <v>39.254564983888287</v>
      </c>
      <c r="BC55" s="31">
        <f t="shared" ref="BC55:BC60" si="226">AY55/BA55</f>
        <v>6.5424274973147156</v>
      </c>
      <c r="BD55" s="27"/>
      <c r="BE55" s="32">
        <f>2130+940</f>
        <v>3070</v>
      </c>
      <c r="BF55" s="34">
        <v>1830</v>
      </c>
      <c r="BG55" s="34">
        <v>0</v>
      </c>
      <c r="BH55" s="32">
        <f>IF(BG55=0,BF55*$BT55,BG55)</f>
        <v>818.68421052631595</v>
      </c>
      <c r="BI55" s="34">
        <v>998</v>
      </c>
      <c r="BJ55" s="34">
        <v>0</v>
      </c>
      <c r="BK55" s="32">
        <f>IF(BJ55=0,BI55*$BT55,BJ55)</f>
        <v>446.47368421052636</v>
      </c>
      <c r="BL55" s="34">
        <v>0</v>
      </c>
      <c r="BM55" s="34">
        <v>1557</v>
      </c>
      <c r="BN55" s="32">
        <f>IF(BM55=0,BL55*$BT55,BM55)</f>
        <v>1557</v>
      </c>
      <c r="BO55" s="34">
        <v>1776</v>
      </c>
      <c r="BP55" s="34"/>
      <c r="BQ55" s="32">
        <f>IF(BP55=0,BO55*$BT55,BP55)</f>
        <v>794.52631578947376</v>
      </c>
      <c r="BR55" s="34">
        <v>48509</v>
      </c>
      <c r="BS55" s="34">
        <v>48509</v>
      </c>
      <c r="BT55" s="201">
        <f t="shared" ref="BT55:BT62" si="227">+P55*BR55/BS55</f>
        <v>0.44736842105263164</v>
      </c>
      <c r="BU55" s="35">
        <f t="shared" ref="BU55:BU62" si="228">BQ55+BN55+BK55+BH55+BE55</f>
        <v>6686.6842105263158</v>
      </c>
      <c r="BV55" s="31">
        <f t="shared" ref="BV55:BV62" si="229">BU55/G55</f>
        <v>22.69236723029293</v>
      </c>
      <c r="BW55" s="31">
        <f t="shared" ref="BW55:BW62" si="230">BU55/H55</f>
        <v>3.7820612050488212</v>
      </c>
      <c r="BX55" s="27"/>
      <c r="BY55" s="90">
        <f t="shared" ref="BY55:BY61" si="231">BU55+AX55</f>
        <v>9900.6842105263167</v>
      </c>
      <c r="BZ55" s="38">
        <f t="shared" ref="BZ55:BZ60" si="232">(BY55*0.1)</f>
        <v>990.06842105263172</v>
      </c>
      <c r="CA55" s="140">
        <f t="shared" ref="CA55:CA61" si="233">+BZ55/AX55</f>
        <v>0.30804866865358799</v>
      </c>
      <c r="CB55" s="38">
        <f t="shared" ref="CB55:CB61" si="234">BZ55/G55</f>
        <v>3.3599607049297462</v>
      </c>
      <c r="CC55" s="38">
        <f t="shared" ref="CC55:CC61" si="235">BZ55/H55</f>
        <v>0.55999345082162433</v>
      </c>
      <c r="CD55" s="38">
        <f t="shared" ref="CD55:CE61" si="236">+$AX55/G55</f>
        <v>10.907239819004527</v>
      </c>
      <c r="CE55" s="38">
        <f t="shared" si="236"/>
        <v>1.8178733031674208</v>
      </c>
      <c r="CF55" s="38">
        <f t="shared" ref="CF55:CF61" si="237">BB55+BV55</f>
        <v>61.946932214181217</v>
      </c>
      <c r="CG55" s="38">
        <f t="shared" ref="CG55:CG60" si="238">CB55+CF55</f>
        <v>65.306892919110965</v>
      </c>
      <c r="CH55" s="38">
        <f t="shared" ref="CH55:CH60" si="239">CF55+CD55</f>
        <v>72.854172033185748</v>
      </c>
      <c r="CI55" s="38">
        <f t="shared" ref="CI55:CI61" si="240">+BC55+BW55</f>
        <v>10.324488702363537</v>
      </c>
      <c r="CJ55" s="38">
        <f t="shared" ref="CJ55:CJ60" si="241">+CI55+CC55</f>
        <v>10.884482153185161</v>
      </c>
      <c r="CK55" s="38">
        <f t="shared" ref="CK55:CK60" si="242">+CI55+CE55</f>
        <v>12.142362005530957</v>
      </c>
      <c r="CL55" s="37">
        <v>4</v>
      </c>
      <c r="CM55" s="38">
        <f t="shared" ref="CM55:CM61" si="243">+CF55/10</f>
        <v>6.1946932214181221</v>
      </c>
      <c r="CN55" s="38">
        <f t="shared" ref="CN55:CN61" si="244">+CM55*G55</f>
        <v>1825.3696025778731</v>
      </c>
      <c r="CO55" s="145">
        <f t="shared" ref="CO55:CO61" si="245">+CN55/AX55</f>
        <v>0.56794324909081306</v>
      </c>
      <c r="CP55" s="62">
        <v>908</v>
      </c>
      <c r="CQ55" s="327"/>
      <c r="CS55" s="271"/>
      <c r="CT55" s="133"/>
      <c r="CU55" s="133"/>
      <c r="CV55" s="133"/>
      <c r="CW55" s="133"/>
      <c r="CX55" s="133"/>
      <c r="CY55" s="133"/>
      <c r="CZ55" s="133"/>
      <c r="DA55" s="133"/>
      <c r="DB55" s="133"/>
      <c r="DC55" s="133"/>
      <c r="DD55" s="133"/>
      <c r="DE55" s="273"/>
      <c r="DF55" s="273"/>
      <c r="DG55" s="273"/>
      <c r="DH55" s="132"/>
      <c r="DI55" s="132"/>
      <c r="DJ55" s="132"/>
      <c r="DK55" s="132"/>
      <c r="DL55" s="132"/>
      <c r="DM55" s="132"/>
      <c r="DN55" s="132"/>
      <c r="DO55" s="132"/>
      <c r="DP55" s="132"/>
      <c r="DQ55" s="132"/>
      <c r="DR55" s="132"/>
      <c r="DS55" s="132"/>
      <c r="DT55" s="276"/>
      <c r="DU55" s="276"/>
      <c r="DV55" s="276"/>
      <c r="DW55" s="279"/>
      <c r="DX55" s="279"/>
      <c r="DY55" s="279"/>
      <c r="DZ55" s="279"/>
      <c r="EA55" s="279"/>
      <c r="EB55" s="279"/>
      <c r="EC55" s="279"/>
      <c r="ED55" s="279"/>
      <c r="EE55" s="279"/>
      <c r="EF55" s="279"/>
      <c r="EG55" s="279"/>
      <c r="EH55" s="279"/>
      <c r="EI55" s="281"/>
      <c r="EJ55" s="281"/>
      <c r="EK55" s="295"/>
      <c r="EL55" s="343">
        <v>61.95</v>
      </c>
      <c r="EM55" s="343">
        <v>3.94</v>
      </c>
      <c r="EN55" s="343">
        <v>8.99</v>
      </c>
      <c r="EO55" s="116"/>
      <c r="EP55" s="116"/>
      <c r="EQ55" s="116"/>
      <c r="ER55" s="116"/>
      <c r="ES55" s="116"/>
      <c r="ET55" s="116"/>
      <c r="EU55" s="116"/>
      <c r="EV55" s="116"/>
      <c r="EW55" s="116"/>
      <c r="EX55" s="116"/>
      <c r="EY55" s="116"/>
      <c r="EZ55" s="116"/>
    </row>
    <row r="56" spans="1:156" ht="26.25" customHeight="1" x14ac:dyDescent="0.3">
      <c r="A56" s="24" t="s">
        <v>41</v>
      </c>
      <c r="B56" s="24" t="s">
        <v>42</v>
      </c>
      <c r="C56" s="1">
        <v>2010</v>
      </c>
      <c r="D56" s="25">
        <v>764</v>
      </c>
      <c r="E56" s="25">
        <v>109</v>
      </c>
      <c r="F56" s="25">
        <v>30</v>
      </c>
      <c r="G56" s="25">
        <f>D56/6+E56+F56</f>
        <v>266.33333333333331</v>
      </c>
      <c r="H56" s="25">
        <f t="shared" si="1"/>
        <v>1598</v>
      </c>
      <c r="I56" s="25">
        <f>1794-D56</f>
        <v>1030</v>
      </c>
      <c r="J56" s="25">
        <f>257-E56+4+4</f>
        <v>156</v>
      </c>
      <c r="K56" s="25">
        <f>53-F56</f>
        <v>23</v>
      </c>
      <c r="L56" s="25">
        <f>I56/6+J56+K56</f>
        <v>350.66666666666663</v>
      </c>
      <c r="M56" s="25">
        <f>I56+J56*6+K56*6</f>
        <v>2104</v>
      </c>
      <c r="N56" s="25">
        <f>G56+L56</f>
        <v>617</v>
      </c>
      <c r="O56" s="25">
        <f t="shared" si="95"/>
        <v>3702</v>
      </c>
      <c r="P56" s="26">
        <f>+H56/O56</f>
        <v>0.43165856293895194</v>
      </c>
      <c r="Q56" s="26">
        <f t="shared" si="215"/>
        <v>0.47809762202753442</v>
      </c>
      <c r="R56" s="26">
        <f t="shared" si="12"/>
        <v>0.40926157697121407</v>
      </c>
      <c r="S56" s="26">
        <f t="shared" si="13"/>
        <v>0.11264080100125157</v>
      </c>
      <c r="T56" s="207">
        <v>167</v>
      </c>
      <c r="U56" s="207">
        <v>78</v>
      </c>
      <c r="V56" s="207">
        <v>1295</v>
      </c>
      <c r="W56" s="25">
        <f t="shared" si="217"/>
        <v>2765</v>
      </c>
      <c r="X56" s="25">
        <f t="shared" si="219"/>
        <v>98</v>
      </c>
      <c r="Y56" s="25">
        <f t="shared" si="220"/>
        <v>460.83333333333337</v>
      </c>
      <c r="Z56" s="25">
        <f t="shared" si="221"/>
        <v>16.333333333333371</v>
      </c>
      <c r="AA56" s="204">
        <f t="shared" ref="AA56:AA62" si="246">+Z56/Y55</f>
        <v>3.6745406824147064E-2</v>
      </c>
      <c r="AB56" s="27"/>
      <c r="AC56" s="28">
        <v>520</v>
      </c>
      <c r="AD56" s="28">
        <v>126</v>
      </c>
      <c r="AE56" s="28">
        <v>9</v>
      </c>
      <c r="AF56" s="28">
        <v>25</v>
      </c>
      <c r="AG56" s="29">
        <f t="shared" si="17"/>
        <v>680</v>
      </c>
      <c r="AH56" s="28">
        <v>74</v>
      </c>
      <c r="AI56" s="28">
        <v>44</v>
      </c>
      <c r="AJ56" s="28">
        <v>0</v>
      </c>
      <c r="AK56" s="28">
        <v>53</v>
      </c>
      <c r="AL56" s="29">
        <f t="shared" si="216"/>
        <v>171</v>
      </c>
      <c r="AM56" s="28">
        <v>15</v>
      </c>
      <c r="AN56" s="28">
        <v>3</v>
      </c>
      <c r="AO56" s="28">
        <v>1</v>
      </c>
      <c r="AP56" s="28">
        <v>0</v>
      </c>
      <c r="AQ56" s="29">
        <f t="shared" si="218"/>
        <v>19</v>
      </c>
      <c r="AR56" s="29">
        <f t="shared" si="9"/>
        <v>1820</v>
      </c>
      <c r="AS56" s="29">
        <f t="shared" si="10"/>
        <v>303.33333333333331</v>
      </c>
      <c r="AT56" s="30">
        <v>260</v>
      </c>
      <c r="AU56" s="30">
        <v>100</v>
      </c>
      <c r="AV56" s="30">
        <v>606</v>
      </c>
      <c r="AW56" s="30">
        <v>2027</v>
      </c>
      <c r="AX56" s="31">
        <f t="shared" si="164"/>
        <v>2993</v>
      </c>
      <c r="AY56" s="25">
        <f t="shared" si="222"/>
        <v>11401</v>
      </c>
      <c r="AZ56" s="25">
        <f t="shared" si="223"/>
        <v>253.66666666666669</v>
      </c>
      <c r="BA56" s="25">
        <f t="shared" si="224"/>
        <v>1522</v>
      </c>
      <c r="BB56" s="31">
        <f t="shared" si="225"/>
        <v>44.944809461235216</v>
      </c>
      <c r="BC56" s="31">
        <f t="shared" si="226"/>
        <v>7.4908015768725358</v>
      </c>
      <c r="BD56" s="27"/>
      <c r="BE56" s="32">
        <f>2079+952</f>
        <v>3031</v>
      </c>
      <c r="BF56" s="34">
        <v>809</v>
      </c>
      <c r="BG56" s="34">
        <v>0</v>
      </c>
      <c r="BH56" s="32">
        <f t="shared" ref="BH56:BH61" si="247">IF(BG56=0,BF56*$BT56,BG56)</f>
        <v>349.2117774176121</v>
      </c>
      <c r="BI56" s="34">
        <v>1210</v>
      </c>
      <c r="BJ56" s="34">
        <v>0</v>
      </c>
      <c r="BK56" s="32">
        <f t="shared" ref="BK56:BK61" si="248">IF(BJ56=0,BI56*$BT56,BJ56)</f>
        <v>522.30686115613184</v>
      </c>
      <c r="BL56" s="34">
        <v>0</v>
      </c>
      <c r="BM56" s="34">
        <v>2068</v>
      </c>
      <c r="BN56" s="32">
        <f t="shared" ref="BN56:BN61" si="249">IF(BM56=0,BL56*$BT56,BM56)</f>
        <v>2068</v>
      </c>
      <c r="BO56" s="34">
        <v>1658</v>
      </c>
      <c r="BP56" s="34">
        <v>0</v>
      </c>
      <c r="BQ56" s="32">
        <f t="shared" ref="BQ56:BQ61" si="250">IF(BP56=0,BO56*$BT56,BP56)</f>
        <v>715.68989735278228</v>
      </c>
      <c r="BR56" s="48">
        <v>56215</v>
      </c>
      <c r="BS56" s="48">
        <v>56215</v>
      </c>
      <c r="BT56" s="201">
        <f t="shared" si="227"/>
        <v>0.43165856293895194</v>
      </c>
      <c r="BU56" s="35">
        <f t="shared" si="228"/>
        <v>6686.2085359265266</v>
      </c>
      <c r="BV56" s="31">
        <f t="shared" si="229"/>
        <v>25.104662838272318</v>
      </c>
      <c r="BW56" s="31">
        <f t="shared" si="230"/>
        <v>4.1841104730453855</v>
      </c>
      <c r="BX56" s="27"/>
      <c r="BY56" s="90">
        <f t="shared" si="231"/>
        <v>9679.2085359265257</v>
      </c>
      <c r="BZ56" s="38">
        <f t="shared" si="232"/>
        <v>967.92085359265263</v>
      </c>
      <c r="CA56" s="140">
        <f t="shared" si="233"/>
        <v>0.3233948725668736</v>
      </c>
      <c r="CB56" s="38">
        <f t="shared" si="234"/>
        <v>3.6342460084830512</v>
      </c>
      <c r="CC56" s="38">
        <f t="shared" si="235"/>
        <v>0.60570766808050858</v>
      </c>
      <c r="CD56" s="38">
        <f t="shared" si="236"/>
        <v>11.237797246558198</v>
      </c>
      <c r="CE56" s="38">
        <f t="shared" si="236"/>
        <v>1.8729662077596996</v>
      </c>
      <c r="CF56" s="38">
        <f t="shared" si="237"/>
        <v>70.049472299507528</v>
      </c>
      <c r="CG56" s="38">
        <f t="shared" si="238"/>
        <v>73.683718307990574</v>
      </c>
      <c r="CH56" s="38">
        <f t="shared" si="239"/>
        <v>81.28726954606573</v>
      </c>
      <c r="CI56" s="38">
        <f t="shared" si="240"/>
        <v>11.674912049917921</v>
      </c>
      <c r="CJ56" s="38">
        <f t="shared" si="241"/>
        <v>12.28061971799843</v>
      </c>
      <c r="CK56" s="38">
        <f t="shared" si="242"/>
        <v>13.54787825767762</v>
      </c>
      <c r="CL56" s="37">
        <v>4</v>
      </c>
      <c r="CM56" s="38">
        <f t="shared" si="243"/>
        <v>7.0049472299507531</v>
      </c>
      <c r="CN56" s="38">
        <f t="shared" si="244"/>
        <v>1865.6509455768837</v>
      </c>
      <c r="CO56" s="145">
        <f t="shared" si="245"/>
        <v>0.62333810410186563</v>
      </c>
      <c r="CP56" s="63">
        <v>1013</v>
      </c>
      <c r="CQ56" s="327"/>
      <c r="CS56" s="271"/>
      <c r="CT56" s="133"/>
      <c r="CU56" s="133"/>
      <c r="CV56" s="133"/>
      <c r="CW56" s="133"/>
      <c r="CX56" s="133"/>
      <c r="CY56" s="133"/>
      <c r="CZ56" s="133"/>
      <c r="DA56" s="133"/>
      <c r="DB56" s="133"/>
      <c r="DC56" s="133"/>
      <c r="DD56" s="133"/>
      <c r="DE56" s="273"/>
      <c r="DF56" s="273"/>
      <c r="DG56" s="273"/>
      <c r="DH56" s="132"/>
      <c r="DI56" s="132"/>
      <c r="DJ56" s="132"/>
      <c r="DK56" s="132"/>
      <c r="DL56" s="132"/>
      <c r="DM56" s="132"/>
      <c r="DN56" s="132"/>
      <c r="DO56" s="132"/>
      <c r="DP56" s="132"/>
      <c r="DQ56" s="132"/>
      <c r="DR56" s="132"/>
      <c r="DS56" s="132"/>
      <c r="DT56" s="276"/>
      <c r="DU56" s="276"/>
      <c r="DV56" s="276"/>
      <c r="DW56" s="279"/>
      <c r="DX56" s="279"/>
      <c r="DY56" s="279"/>
      <c r="DZ56" s="279"/>
      <c r="EA56" s="279"/>
      <c r="EB56" s="279"/>
      <c r="EC56" s="279"/>
      <c r="ED56" s="279"/>
      <c r="EE56" s="279"/>
      <c r="EF56" s="279"/>
      <c r="EG56" s="279"/>
      <c r="EH56" s="279"/>
      <c r="EI56" s="281"/>
      <c r="EJ56" s="281"/>
      <c r="EK56" s="295"/>
      <c r="EL56" s="343">
        <v>79.48</v>
      </c>
      <c r="EM56" s="343">
        <v>4.37</v>
      </c>
      <c r="EN56" s="343">
        <v>11.83</v>
      </c>
      <c r="EO56" s="116"/>
      <c r="EP56" s="116"/>
      <c r="EQ56" s="116"/>
      <c r="ER56" s="116"/>
      <c r="ES56" s="116"/>
      <c r="ET56" s="116"/>
      <c r="EU56" s="116"/>
      <c r="EV56" s="116"/>
      <c r="EW56" s="116"/>
      <c r="EX56" s="116"/>
      <c r="EY56" s="116"/>
      <c r="EZ56" s="116"/>
    </row>
    <row r="57" spans="1:156" ht="26.25" customHeight="1" x14ac:dyDescent="0.3">
      <c r="A57" s="24" t="s">
        <v>41</v>
      </c>
      <c r="B57" s="24" t="s">
        <v>42</v>
      </c>
      <c r="C57" s="1">
        <v>2011</v>
      </c>
      <c r="D57" s="25">
        <v>708</v>
      </c>
      <c r="E57" s="25">
        <v>107</v>
      </c>
      <c r="F57" s="25">
        <v>32</v>
      </c>
      <c r="G57" s="25">
        <f>D57/6+E57+F57</f>
        <v>257</v>
      </c>
      <c r="H57" s="25">
        <f t="shared" si="1"/>
        <v>1542</v>
      </c>
      <c r="I57" s="25">
        <f>1632-D57</f>
        <v>924</v>
      </c>
      <c r="J57" s="25">
        <f>220-E57+3</f>
        <v>116</v>
      </c>
      <c r="K57" s="25">
        <f>51-F57</f>
        <v>19</v>
      </c>
      <c r="L57" s="25">
        <f>I57/6+J57+K57</f>
        <v>289</v>
      </c>
      <c r="M57" s="25">
        <f>I57+J57*6+K57*6</f>
        <v>1734</v>
      </c>
      <c r="N57" s="25">
        <f>G57+L57</f>
        <v>546</v>
      </c>
      <c r="O57" s="25">
        <f t="shared" si="95"/>
        <v>3276</v>
      </c>
      <c r="P57" s="26">
        <f>+H57/O57</f>
        <v>0.47069597069597069</v>
      </c>
      <c r="Q57" s="26">
        <f t="shared" si="215"/>
        <v>0.45914396887159531</v>
      </c>
      <c r="R57" s="26">
        <f t="shared" si="12"/>
        <v>0.41634241245136189</v>
      </c>
      <c r="S57" s="26">
        <f t="shared" si="13"/>
        <v>0.1245136186770428</v>
      </c>
      <c r="T57" s="207">
        <v>190</v>
      </c>
      <c r="U57" s="207">
        <v>73</v>
      </c>
      <c r="V57" s="207">
        <v>1047</v>
      </c>
      <c r="W57" s="25">
        <f t="shared" si="217"/>
        <v>2625</v>
      </c>
      <c r="X57" s="25">
        <f t="shared" si="219"/>
        <v>-140</v>
      </c>
      <c r="Y57" s="25">
        <f t="shared" si="220"/>
        <v>437.5</v>
      </c>
      <c r="Z57" s="25">
        <f t="shared" si="221"/>
        <v>-23.333333333333371</v>
      </c>
      <c r="AA57" s="204">
        <f t="shared" si="246"/>
        <v>-5.0632911392405139E-2</v>
      </c>
      <c r="AB57" s="27"/>
      <c r="AC57" s="28">
        <v>201</v>
      </c>
      <c r="AD57" s="28">
        <v>174</v>
      </c>
      <c r="AE57" s="28">
        <v>7</v>
      </c>
      <c r="AF57" s="28">
        <v>6</v>
      </c>
      <c r="AG57" s="29">
        <f t="shared" si="17"/>
        <v>388</v>
      </c>
      <c r="AH57" s="28">
        <v>87</v>
      </c>
      <c r="AI57" s="28">
        <v>77</v>
      </c>
      <c r="AJ57" s="28">
        <v>0</v>
      </c>
      <c r="AK57" s="28">
        <v>17</v>
      </c>
      <c r="AL57" s="29">
        <f t="shared" si="216"/>
        <v>181</v>
      </c>
      <c r="AM57" s="28">
        <v>28</v>
      </c>
      <c r="AN57" s="28">
        <v>12</v>
      </c>
      <c r="AO57" s="28">
        <v>1</v>
      </c>
      <c r="AP57" s="28">
        <v>0</v>
      </c>
      <c r="AQ57" s="29">
        <f t="shared" si="218"/>
        <v>41</v>
      </c>
      <c r="AR57" s="29">
        <f t="shared" si="9"/>
        <v>1720</v>
      </c>
      <c r="AS57" s="29">
        <f t="shared" si="10"/>
        <v>286.66666666666669</v>
      </c>
      <c r="AT57" s="30">
        <v>578</v>
      </c>
      <c r="AU57" s="30">
        <v>10</v>
      </c>
      <c r="AV57" s="30">
        <v>1115</v>
      </c>
      <c r="AW57" s="30">
        <v>3132</v>
      </c>
      <c r="AX57" s="31">
        <f t="shared" si="164"/>
        <v>4835</v>
      </c>
      <c r="AY57" s="25">
        <f t="shared" si="222"/>
        <v>11042</v>
      </c>
      <c r="AZ57" s="25">
        <f t="shared" si="223"/>
        <v>833.5</v>
      </c>
      <c r="BA57" s="25">
        <f t="shared" si="224"/>
        <v>5001</v>
      </c>
      <c r="BB57" s="31">
        <f t="shared" si="225"/>
        <v>13.247750449910018</v>
      </c>
      <c r="BC57" s="31">
        <f t="shared" si="226"/>
        <v>2.2079584083183361</v>
      </c>
      <c r="BD57" s="27"/>
      <c r="BE57" s="32">
        <f>2273+1041</f>
        <v>3314</v>
      </c>
      <c r="BF57" s="34">
        <v>865</v>
      </c>
      <c r="BG57" s="34">
        <v>0</v>
      </c>
      <c r="BH57" s="32">
        <f t="shared" si="247"/>
        <v>407.15201465201466</v>
      </c>
      <c r="BI57" s="34">
        <v>9827</v>
      </c>
      <c r="BJ57" s="34">
        <v>0</v>
      </c>
      <c r="BK57" s="32">
        <f t="shared" si="248"/>
        <v>4625.5293040293036</v>
      </c>
      <c r="BL57" s="34">
        <v>0</v>
      </c>
      <c r="BM57" s="34">
        <v>3241</v>
      </c>
      <c r="BN57" s="32">
        <f t="shared" si="249"/>
        <v>3241</v>
      </c>
      <c r="BO57" s="34">
        <v>1442</v>
      </c>
      <c r="BP57" s="34">
        <v>0</v>
      </c>
      <c r="BQ57" s="32">
        <f t="shared" si="250"/>
        <v>678.74358974358972</v>
      </c>
      <c r="BR57" s="48">
        <v>64196</v>
      </c>
      <c r="BS57" s="48">
        <v>64196</v>
      </c>
      <c r="BT57" s="201">
        <f t="shared" si="227"/>
        <v>0.47069597069597069</v>
      </c>
      <c r="BU57" s="35">
        <f t="shared" si="228"/>
        <v>12266.424908424908</v>
      </c>
      <c r="BV57" s="31">
        <f t="shared" si="229"/>
        <v>47.729279799318704</v>
      </c>
      <c r="BW57" s="31">
        <f t="shared" si="230"/>
        <v>7.9548799665531176</v>
      </c>
      <c r="BX57" s="27"/>
      <c r="BY57" s="90">
        <f t="shared" si="231"/>
        <v>17101.42490842491</v>
      </c>
      <c r="BZ57" s="38">
        <f t="shared" si="232"/>
        <v>1710.142490842491</v>
      </c>
      <c r="CA57" s="140">
        <f t="shared" si="233"/>
        <v>0.3537006185816941</v>
      </c>
      <c r="CB57" s="38">
        <f t="shared" si="234"/>
        <v>6.6542509371303149</v>
      </c>
      <c r="CC57" s="38">
        <f t="shared" si="235"/>
        <v>1.1090418228550525</v>
      </c>
      <c r="CD57" s="38">
        <f t="shared" si="236"/>
        <v>18.813229571984436</v>
      </c>
      <c r="CE57" s="38">
        <f t="shared" si="236"/>
        <v>3.1355382619974059</v>
      </c>
      <c r="CF57" s="38">
        <f t="shared" si="237"/>
        <v>60.977030249228719</v>
      </c>
      <c r="CG57" s="38">
        <f t="shared" si="238"/>
        <v>67.631281186359033</v>
      </c>
      <c r="CH57" s="38">
        <f t="shared" si="239"/>
        <v>79.790259821213155</v>
      </c>
      <c r="CI57" s="38">
        <f t="shared" si="240"/>
        <v>10.162838374871454</v>
      </c>
      <c r="CJ57" s="38">
        <f t="shared" si="241"/>
        <v>11.271880197726507</v>
      </c>
      <c r="CK57" s="38">
        <f t="shared" si="242"/>
        <v>13.298376636868859</v>
      </c>
      <c r="CL57" s="37">
        <v>4</v>
      </c>
      <c r="CM57" s="38">
        <f t="shared" si="243"/>
        <v>6.0977030249228719</v>
      </c>
      <c r="CN57" s="38">
        <f t="shared" si="244"/>
        <v>1567.109677405178</v>
      </c>
      <c r="CO57" s="145">
        <f t="shared" si="245"/>
        <v>0.32411782366187758</v>
      </c>
      <c r="CP57" s="63">
        <f>1037</f>
        <v>1037</v>
      </c>
      <c r="CQ57" s="327"/>
      <c r="CS57" s="271"/>
      <c r="CT57" s="133"/>
      <c r="CU57" s="133"/>
      <c r="CV57" s="133"/>
      <c r="CW57" s="133"/>
      <c r="CX57" s="133"/>
      <c r="CY57" s="133"/>
      <c r="CZ57" s="133"/>
      <c r="DA57" s="133"/>
      <c r="DB57" s="133"/>
      <c r="DC57" s="133"/>
      <c r="DD57" s="133"/>
      <c r="DE57" s="273"/>
      <c r="DF57" s="273"/>
      <c r="DG57" s="273"/>
      <c r="DH57" s="132"/>
      <c r="DI57" s="132"/>
      <c r="DJ57" s="132"/>
      <c r="DK57" s="132"/>
      <c r="DL57" s="132"/>
      <c r="DM57" s="132"/>
      <c r="DN57" s="132"/>
      <c r="DO57" s="132"/>
      <c r="DP57" s="132"/>
      <c r="DQ57" s="132"/>
      <c r="DR57" s="132"/>
      <c r="DS57" s="132"/>
      <c r="DT57" s="276"/>
      <c r="DU57" s="276"/>
      <c r="DV57" s="276"/>
      <c r="DW57" s="279"/>
      <c r="DX57" s="279"/>
      <c r="DY57" s="279"/>
      <c r="DZ57" s="279"/>
      <c r="EA57" s="279"/>
      <c r="EB57" s="279"/>
      <c r="EC57" s="279"/>
      <c r="ED57" s="279"/>
      <c r="EE57" s="279"/>
      <c r="EF57" s="279"/>
      <c r="EG57" s="279"/>
      <c r="EH57" s="279"/>
      <c r="EI57" s="281"/>
      <c r="EJ57" s="281"/>
      <c r="EK57" s="295"/>
      <c r="EL57" s="343">
        <v>94.88</v>
      </c>
      <c r="EM57" s="343">
        <v>4</v>
      </c>
      <c r="EN57" s="343">
        <v>15.12</v>
      </c>
      <c r="EO57" s="116"/>
      <c r="EP57" s="116"/>
      <c r="EQ57" s="116"/>
      <c r="ER57" s="116"/>
      <c r="ES57" s="116"/>
      <c r="ET57" s="116"/>
      <c r="EU57" s="116"/>
      <c r="EV57" s="116"/>
      <c r="EW57" s="116"/>
      <c r="EX57" s="116"/>
      <c r="EY57" s="116"/>
      <c r="EZ57" s="116"/>
    </row>
    <row r="58" spans="1:156" ht="26.25" customHeight="1" x14ac:dyDescent="0.3">
      <c r="A58" s="39" t="s">
        <v>41</v>
      </c>
      <c r="B58" s="39" t="s">
        <v>42</v>
      </c>
      <c r="C58" s="22">
        <v>2012</v>
      </c>
      <c r="D58" s="25">
        <v>685</v>
      </c>
      <c r="E58" s="25">
        <v>115</v>
      </c>
      <c r="F58" s="25">
        <v>36</v>
      </c>
      <c r="G58" s="25">
        <f t="shared" si="0"/>
        <v>265.16666666666669</v>
      </c>
      <c r="H58" s="25">
        <f t="shared" si="1"/>
        <v>1591</v>
      </c>
      <c r="I58" s="25">
        <f>1539-D58</f>
        <v>854</v>
      </c>
      <c r="J58" s="25">
        <f>217-E58+4</f>
        <v>106</v>
      </c>
      <c r="K58" s="25">
        <f>54-F58+3</f>
        <v>21</v>
      </c>
      <c r="L58" s="25">
        <f>I58/6+J58+K58</f>
        <v>269.33333333333337</v>
      </c>
      <c r="M58" s="25">
        <f>I58+J58*6+K58*6</f>
        <v>1616</v>
      </c>
      <c r="N58" s="25">
        <f>G58+L58</f>
        <v>534.5</v>
      </c>
      <c r="O58" s="25">
        <f t="shared" si="95"/>
        <v>3207</v>
      </c>
      <c r="P58" s="26">
        <f>+H58/O58</f>
        <v>0.49610227627065795</v>
      </c>
      <c r="Q58" s="26">
        <f t="shared" si="215"/>
        <v>0.43054682589566312</v>
      </c>
      <c r="R58" s="26">
        <f t="shared" si="12"/>
        <v>0.43368950345694529</v>
      </c>
      <c r="S58" s="26">
        <f t="shared" si="13"/>
        <v>0.13576367064739156</v>
      </c>
      <c r="T58" s="207">
        <v>307</v>
      </c>
      <c r="U58" s="207">
        <v>69</v>
      </c>
      <c r="V58" s="207">
        <v>925</v>
      </c>
      <c r="W58" s="25">
        <f t="shared" si="217"/>
        <v>3181</v>
      </c>
      <c r="X58" s="25">
        <f t="shared" si="219"/>
        <v>556</v>
      </c>
      <c r="Y58" s="25">
        <f t="shared" si="220"/>
        <v>530.16666666666663</v>
      </c>
      <c r="Z58" s="25">
        <f t="shared" si="221"/>
        <v>92.666666666666629</v>
      </c>
      <c r="AA58" s="204">
        <f t="shared" si="246"/>
        <v>0.21180952380952373</v>
      </c>
      <c r="AB58" s="27"/>
      <c r="AC58" s="28">
        <v>-483</v>
      </c>
      <c r="AD58" s="28">
        <v>451</v>
      </c>
      <c r="AE58" s="28">
        <v>9</v>
      </c>
      <c r="AF58" s="28">
        <v>27</v>
      </c>
      <c r="AG58" s="29">
        <f t="shared" si="17"/>
        <v>4</v>
      </c>
      <c r="AH58" s="28">
        <v>9</v>
      </c>
      <c r="AI58" s="28">
        <v>205</v>
      </c>
      <c r="AJ58" s="28">
        <v>0</v>
      </c>
      <c r="AK58" s="28">
        <v>16</v>
      </c>
      <c r="AL58" s="29">
        <f t="shared" si="216"/>
        <v>230</v>
      </c>
      <c r="AM58" s="28">
        <v>-9</v>
      </c>
      <c r="AN58" s="28">
        <v>40</v>
      </c>
      <c r="AO58" s="28">
        <v>1</v>
      </c>
      <c r="AP58" s="28">
        <v>0</v>
      </c>
      <c r="AQ58" s="29">
        <f t="shared" si="218"/>
        <v>32</v>
      </c>
      <c r="AR58" s="29">
        <f t="shared" si="9"/>
        <v>1576</v>
      </c>
      <c r="AS58" s="29">
        <f t="shared" si="10"/>
        <v>262.66666666666663</v>
      </c>
      <c r="AT58" s="30">
        <v>564</v>
      </c>
      <c r="AU58" s="30">
        <v>33</v>
      </c>
      <c r="AV58" s="30">
        <v>1376</v>
      </c>
      <c r="AW58" s="30">
        <v>4561</v>
      </c>
      <c r="AX58" s="31">
        <f t="shared" si="164"/>
        <v>6534</v>
      </c>
      <c r="AY58" s="25">
        <f t="shared" si="222"/>
        <v>14362</v>
      </c>
      <c r="AZ58" s="25">
        <f t="shared" si="223"/>
        <v>852.66666666666663</v>
      </c>
      <c r="BA58" s="25">
        <f t="shared" si="224"/>
        <v>5116</v>
      </c>
      <c r="BB58" s="31">
        <f t="shared" si="225"/>
        <v>16.843627834245506</v>
      </c>
      <c r="BC58" s="31">
        <f t="shared" si="226"/>
        <v>2.8072713057075842</v>
      </c>
      <c r="BD58" s="27"/>
      <c r="BE58" s="40">
        <f>2896+680</f>
        <v>3576</v>
      </c>
      <c r="BF58" s="34">
        <v>1106</v>
      </c>
      <c r="BG58" s="34">
        <v>0</v>
      </c>
      <c r="BH58" s="32">
        <f t="shared" si="247"/>
        <v>548.68911755534759</v>
      </c>
      <c r="BI58" s="34">
        <v>8100</v>
      </c>
      <c r="BJ58" s="34">
        <v>0</v>
      </c>
      <c r="BK58" s="32">
        <f t="shared" si="248"/>
        <v>4018.4284377923291</v>
      </c>
      <c r="BL58" s="34">
        <v>0</v>
      </c>
      <c r="BM58" s="34">
        <v>2990</v>
      </c>
      <c r="BN58" s="32">
        <f t="shared" si="249"/>
        <v>2990</v>
      </c>
      <c r="BO58" s="34">
        <v>1324</v>
      </c>
      <c r="BP58" s="34">
        <v>0</v>
      </c>
      <c r="BQ58" s="32">
        <f t="shared" si="250"/>
        <v>656.83941378235102</v>
      </c>
      <c r="BR58" s="34">
        <v>57967</v>
      </c>
      <c r="BS58" s="34">
        <v>57967</v>
      </c>
      <c r="BT58" s="201">
        <f t="shared" si="227"/>
        <v>0.49610227627065789</v>
      </c>
      <c r="BU58" s="35">
        <f t="shared" si="228"/>
        <v>11789.956969130028</v>
      </c>
      <c r="BV58" s="31">
        <f t="shared" si="229"/>
        <v>44.462439858441336</v>
      </c>
      <c r="BW58" s="31">
        <f t="shared" si="230"/>
        <v>7.4104066430735562</v>
      </c>
      <c r="BX58" s="27"/>
      <c r="BY58" s="90">
        <f t="shared" si="231"/>
        <v>18323.956969130028</v>
      </c>
      <c r="BZ58" s="38">
        <f t="shared" si="232"/>
        <v>1832.3956969130029</v>
      </c>
      <c r="CA58" s="140">
        <f t="shared" si="233"/>
        <v>0.28044011278129827</v>
      </c>
      <c r="CB58" s="38">
        <f t="shared" si="234"/>
        <v>6.9103546080942904</v>
      </c>
      <c r="CC58" s="38">
        <f t="shared" si="235"/>
        <v>1.1517257680157151</v>
      </c>
      <c r="CD58" s="38">
        <f t="shared" si="236"/>
        <v>24.64110622250157</v>
      </c>
      <c r="CE58" s="38">
        <f t="shared" si="236"/>
        <v>4.1068510370835956</v>
      </c>
      <c r="CF58" s="38">
        <f t="shared" si="237"/>
        <v>61.306067692686838</v>
      </c>
      <c r="CG58" s="38">
        <f t="shared" si="238"/>
        <v>68.216422300781133</v>
      </c>
      <c r="CH58" s="38">
        <f t="shared" si="239"/>
        <v>85.947173915188415</v>
      </c>
      <c r="CI58" s="38">
        <f t="shared" si="240"/>
        <v>10.217677948781141</v>
      </c>
      <c r="CJ58" s="38">
        <f t="shared" si="241"/>
        <v>11.369403716796857</v>
      </c>
      <c r="CK58" s="38">
        <f t="shared" si="242"/>
        <v>14.324528985864736</v>
      </c>
      <c r="CL58" s="37">
        <v>4</v>
      </c>
      <c r="CM58" s="38">
        <f t="shared" si="243"/>
        <v>6.1306067692686836</v>
      </c>
      <c r="CN58" s="38">
        <f t="shared" si="244"/>
        <v>1625.6325616510794</v>
      </c>
      <c r="CO58" s="145">
        <f t="shared" si="245"/>
        <v>0.24879592311770424</v>
      </c>
      <c r="CP58" s="63">
        <f>1038</f>
        <v>1038</v>
      </c>
      <c r="CQ58" s="327"/>
      <c r="CS58" s="270">
        <f>+CT58*CU58</f>
        <v>377.4693125</v>
      </c>
      <c r="CT58" s="269">
        <f>+(1.502+0.059)*91.25</f>
        <v>142.44125</v>
      </c>
      <c r="CU58" s="133">
        <v>2.65</v>
      </c>
      <c r="CV58" s="269">
        <f>+CW58*CX58</f>
        <v>279.00599999999997</v>
      </c>
      <c r="CW58" s="269">
        <f>1.456*91.25</f>
        <v>132.85999999999999</v>
      </c>
      <c r="CX58" s="133">
        <v>2.1</v>
      </c>
      <c r="CY58" s="269">
        <f>+CZ58*DA58</f>
        <v>478.54784999999993</v>
      </c>
      <c r="CZ58" s="269">
        <f>1.507*91.25</f>
        <v>137.51374999999999</v>
      </c>
      <c r="DA58" s="133">
        <v>3.48</v>
      </c>
      <c r="DB58" s="269">
        <f t="shared" ref="DB58:DC62" si="251">+DE58-CS58-CV58-CY58</f>
        <v>401.83123750000038</v>
      </c>
      <c r="DC58" s="269">
        <f t="shared" si="251"/>
        <v>152.20500000000001</v>
      </c>
      <c r="DD58" s="133">
        <f>+DB58/DC58</f>
        <v>2.6400659472422086</v>
      </c>
      <c r="DE58" s="274">
        <f>+DF58*DG58</f>
        <v>1536.8544000000002</v>
      </c>
      <c r="DF58" s="274">
        <f>(1.493+0.055)*365</f>
        <v>565.02</v>
      </c>
      <c r="DG58" s="273">
        <v>2.72</v>
      </c>
      <c r="DH58" s="272">
        <f>+DI58*DJ58</f>
        <v>2935.96875</v>
      </c>
      <c r="DI58" s="272">
        <f>(0.117+0.208)*91.25</f>
        <v>29.65625</v>
      </c>
      <c r="DJ58" s="296">
        <v>99</v>
      </c>
      <c r="DK58" s="272">
        <f>+DL58*DM58</f>
        <v>2436.7199249999999</v>
      </c>
      <c r="DL58" s="272">
        <f>(0.115+0.183)*91.25</f>
        <v>27.192499999999999</v>
      </c>
      <c r="DM58" s="296">
        <v>89.61</v>
      </c>
      <c r="DN58" s="272">
        <f>+DO58*DP58</f>
        <v>2309.2509750000004</v>
      </c>
      <c r="DO58" s="272">
        <f>(0.124+0.157)*91.25</f>
        <v>25.641250000000003</v>
      </c>
      <c r="DP58" s="296">
        <v>90.06</v>
      </c>
      <c r="DQ58" s="272">
        <f t="shared" ref="DQ58:DR62" si="252">+DT58-DN58-DK58-DH58</f>
        <v>3358.5292499999996</v>
      </c>
      <c r="DR58" s="272">
        <f t="shared" si="252"/>
        <v>31.025000000000006</v>
      </c>
      <c r="DS58" s="296">
        <f>+DQ58/DR58</f>
        <v>108.25235294117644</v>
      </c>
      <c r="DT58" s="277">
        <f>+DU58*DV58</f>
        <v>11040.4689</v>
      </c>
      <c r="DU58" s="277">
        <f>(0.123+0.188)*365</f>
        <v>113.515</v>
      </c>
      <c r="DV58" s="297">
        <v>97.26</v>
      </c>
      <c r="DW58" s="99">
        <f>+DX58*DY58</f>
        <v>417.90674999999993</v>
      </c>
      <c r="DX58" s="99">
        <f>0.102*91.25</f>
        <v>9.3074999999999992</v>
      </c>
      <c r="DY58" s="298">
        <v>44.9</v>
      </c>
      <c r="DZ58" s="99">
        <f>+EA58*EB58</f>
        <v>312.748425</v>
      </c>
      <c r="EA58" s="99">
        <f>0.099*91.25</f>
        <v>9.0337500000000013</v>
      </c>
      <c r="EB58" s="298">
        <v>34.619999999999997</v>
      </c>
      <c r="EC58" s="99">
        <f>+ED58*EE58</f>
        <v>277.92925000000002</v>
      </c>
      <c r="ED58" s="99">
        <f>0.097*91.25</f>
        <v>8.8512500000000003</v>
      </c>
      <c r="EE58" s="298">
        <v>31.4</v>
      </c>
      <c r="EF58" s="99">
        <f t="shared" ref="EF58:EG62" si="253">+EI58-EC58-DZ58-DW58</f>
        <v>298.27982500000002</v>
      </c>
      <c r="EG58" s="99">
        <f t="shared" si="253"/>
        <v>9.6725000000000012</v>
      </c>
      <c r="EH58" s="298">
        <f>+EF58/EG58</f>
        <v>30.837924528301883</v>
      </c>
      <c r="EI58" s="282">
        <f>+EJ58*EK58</f>
        <v>1306.8642500000001</v>
      </c>
      <c r="EJ58" s="282">
        <f>(0.085+0.016)*365</f>
        <v>36.865000000000002</v>
      </c>
      <c r="EK58" s="299">
        <v>35.450000000000003</v>
      </c>
      <c r="EL58" s="344">
        <v>94.05</v>
      </c>
      <c r="EM58" s="344">
        <v>2.75</v>
      </c>
      <c r="EN58" s="344">
        <v>10.98</v>
      </c>
      <c r="EO58" s="74">
        <v>2.41</v>
      </c>
      <c r="EP58" s="74">
        <v>2.2799999999999998</v>
      </c>
      <c r="EQ58" s="74">
        <v>2.88</v>
      </c>
      <c r="ER58" s="74">
        <v>3.4</v>
      </c>
      <c r="ES58" s="74">
        <v>13.14</v>
      </c>
      <c r="ET58" s="74">
        <v>10.75</v>
      </c>
      <c r="EU58" s="74">
        <v>9.9600000000000009</v>
      </c>
      <c r="EV58" s="74">
        <v>10.08</v>
      </c>
      <c r="EW58" s="74">
        <v>102.98</v>
      </c>
      <c r="EX58" s="74">
        <v>93.29</v>
      </c>
      <c r="EY58" s="74">
        <v>92.17</v>
      </c>
      <c r="EZ58" s="74">
        <v>88.01</v>
      </c>
    </row>
    <row r="59" spans="1:156" ht="26.25" customHeight="1" x14ac:dyDescent="0.3">
      <c r="A59" s="43" t="s">
        <v>41</v>
      </c>
      <c r="B59" s="43" t="s">
        <v>42</v>
      </c>
      <c r="C59" s="53">
        <v>2013</v>
      </c>
      <c r="D59" s="52">
        <v>678</v>
      </c>
      <c r="E59" s="52">
        <v>120</v>
      </c>
      <c r="F59" s="52">
        <v>40</v>
      </c>
      <c r="G59" s="52">
        <f t="shared" si="0"/>
        <v>273</v>
      </c>
      <c r="H59" s="52">
        <f t="shared" si="1"/>
        <v>1638</v>
      </c>
      <c r="I59" s="52">
        <f>1479-D59+176</f>
        <v>977</v>
      </c>
      <c r="J59" s="52">
        <f>212-E59+6</f>
        <v>98</v>
      </c>
      <c r="K59" s="52">
        <f>56-F59+3+5+35</f>
        <v>59</v>
      </c>
      <c r="L59" s="52">
        <f t="shared" si="2"/>
        <v>319.83333333333337</v>
      </c>
      <c r="M59" s="52">
        <f t="shared" si="3"/>
        <v>1919</v>
      </c>
      <c r="N59" s="52">
        <f t="shared" si="95"/>
        <v>592.83333333333337</v>
      </c>
      <c r="O59" s="52">
        <f t="shared" si="95"/>
        <v>3557</v>
      </c>
      <c r="P59" s="54">
        <f t="shared" si="5"/>
        <v>0.46050042170368288</v>
      </c>
      <c r="Q59" s="54">
        <f t="shared" si="215"/>
        <v>0.41391941391941389</v>
      </c>
      <c r="R59" s="54">
        <f t="shared" si="12"/>
        <v>0.43956043956043955</v>
      </c>
      <c r="S59" s="54">
        <f t="shared" si="13"/>
        <v>0.14652014652014653</v>
      </c>
      <c r="T59" s="208">
        <v>441</v>
      </c>
      <c r="U59" s="208">
        <v>100</v>
      </c>
      <c r="V59" s="208">
        <v>939</v>
      </c>
      <c r="W59" s="52">
        <f t="shared" si="217"/>
        <v>4185</v>
      </c>
      <c r="X59" s="52">
        <f t="shared" si="219"/>
        <v>1004</v>
      </c>
      <c r="Y59" s="52">
        <f t="shared" si="220"/>
        <v>697.5</v>
      </c>
      <c r="Z59" s="52">
        <f t="shared" si="221"/>
        <v>167.33333333333337</v>
      </c>
      <c r="AA59" s="205">
        <f t="shared" si="246"/>
        <v>0.31562401760452696</v>
      </c>
      <c r="AB59" s="44"/>
      <c r="AC59" s="45">
        <v>287</v>
      </c>
      <c r="AD59" s="45">
        <v>510</v>
      </c>
      <c r="AE59" s="45">
        <v>0</v>
      </c>
      <c r="AF59" s="45">
        <v>6</v>
      </c>
      <c r="AG59" s="55">
        <f t="shared" si="17"/>
        <v>803</v>
      </c>
      <c r="AH59" s="45">
        <v>13</v>
      </c>
      <c r="AI59" s="45">
        <v>244</v>
      </c>
      <c r="AJ59" s="45">
        <v>0</v>
      </c>
      <c r="AK59" s="45">
        <v>20</v>
      </c>
      <c r="AL59" s="55">
        <f t="shared" si="216"/>
        <v>277</v>
      </c>
      <c r="AM59" s="45">
        <v>45</v>
      </c>
      <c r="AN59" s="45">
        <v>58</v>
      </c>
      <c r="AO59" s="45">
        <v>0</v>
      </c>
      <c r="AP59" s="45">
        <v>0</v>
      </c>
      <c r="AQ59" s="55">
        <f t="shared" si="218"/>
        <v>103</v>
      </c>
      <c r="AR59" s="55">
        <f t="shared" si="9"/>
        <v>3083</v>
      </c>
      <c r="AS59" s="55">
        <f t="shared" si="10"/>
        <v>513.83333333333337</v>
      </c>
      <c r="AT59" s="46">
        <v>314</v>
      </c>
      <c r="AU59" s="46">
        <v>4</v>
      </c>
      <c r="AV59" s="46">
        <v>1315</v>
      </c>
      <c r="AW59" s="46">
        <v>4992</v>
      </c>
      <c r="AX59" s="50">
        <f t="shared" si="164"/>
        <v>6625</v>
      </c>
      <c r="AY59" s="52">
        <f t="shared" si="222"/>
        <v>17994</v>
      </c>
      <c r="AZ59" s="52">
        <f t="shared" si="223"/>
        <v>1063.1666666666665</v>
      </c>
      <c r="BA59" s="52">
        <f t="shared" si="224"/>
        <v>6379</v>
      </c>
      <c r="BB59" s="50">
        <f t="shared" si="225"/>
        <v>16.924909860479701</v>
      </c>
      <c r="BC59" s="50">
        <f t="shared" si="226"/>
        <v>2.8208183100799498</v>
      </c>
      <c r="BD59" s="44"/>
      <c r="BE59" s="47">
        <f>3365+703</f>
        <v>4068</v>
      </c>
      <c r="BF59" s="48">
        <v>854</v>
      </c>
      <c r="BG59" s="48">
        <v>0</v>
      </c>
      <c r="BH59" s="47">
        <f t="shared" si="247"/>
        <v>393.26736013494525</v>
      </c>
      <c r="BI59" s="48">
        <v>4910</v>
      </c>
      <c r="BJ59" s="48">
        <v>0</v>
      </c>
      <c r="BK59" s="47">
        <f t="shared" si="248"/>
        <v>2261.0570705650834</v>
      </c>
      <c r="BL59" s="48">
        <v>0</v>
      </c>
      <c r="BM59" s="48">
        <v>2261</v>
      </c>
      <c r="BN59" s="47">
        <f t="shared" si="249"/>
        <v>2261</v>
      </c>
      <c r="BO59" s="48">
        <v>1279</v>
      </c>
      <c r="BP59" s="48">
        <v>0</v>
      </c>
      <c r="BQ59" s="47">
        <f t="shared" si="250"/>
        <v>588.98003935901045</v>
      </c>
      <c r="BR59" s="48">
        <v>54413</v>
      </c>
      <c r="BS59" s="48">
        <v>54413</v>
      </c>
      <c r="BT59" s="202">
        <f t="shared" si="227"/>
        <v>0.46050042170368294</v>
      </c>
      <c r="BU59" s="49">
        <f t="shared" si="228"/>
        <v>9572.3044700590399</v>
      </c>
      <c r="BV59" s="50">
        <f t="shared" si="229"/>
        <v>35.063386337212599</v>
      </c>
      <c r="BW59" s="50">
        <f t="shared" si="230"/>
        <v>5.8438977228687667</v>
      </c>
      <c r="BX59" s="44"/>
      <c r="BY59" s="91">
        <f t="shared" si="231"/>
        <v>16197.30447005904</v>
      </c>
      <c r="BZ59" s="56">
        <f t="shared" si="232"/>
        <v>1619.7304470059041</v>
      </c>
      <c r="CA59" s="141">
        <f t="shared" si="233"/>
        <v>0.24448761464240062</v>
      </c>
      <c r="CB59" s="56">
        <f t="shared" si="234"/>
        <v>5.9330785604611869</v>
      </c>
      <c r="CC59" s="56">
        <f t="shared" si="235"/>
        <v>0.98884642674353118</v>
      </c>
      <c r="CD59" s="56">
        <f t="shared" si="236"/>
        <v>24.267399267399266</v>
      </c>
      <c r="CE59" s="56">
        <f t="shared" si="236"/>
        <v>4.0445665445665444</v>
      </c>
      <c r="CF59" s="56">
        <f t="shared" si="237"/>
        <v>51.9882961976923</v>
      </c>
      <c r="CG59" s="56">
        <f t="shared" si="238"/>
        <v>57.92137475815349</v>
      </c>
      <c r="CH59" s="56">
        <f t="shared" si="239"/>
        <v>76.255695465091563</v>
      </c>
      <c r="CI59" s="56">
        <f t="shared" si="240"/>
        <v>8.6647160329487161</v>
      </c>
      <c r="CJ59" s="38">
        <f t="shared" si="241"/>
        <v>9.6535624596922478</v>
      </c>
      <c r="CK59" s="56">
        <f t="shared" si="242"/>
        <v>12.70928257751526</v>
      </c>
      <c r="CL59" s="51">
        <v>4</v>
      </c>
      <c r="CM59" s="56">
        <f t="shared" si="243"/>
        <v>5.1988296197692296</v>
      </c>
      <c r="CN59" s="56">
        <f t="shared" si="244"/>
        <v>1419.2804861969996</v>
      </c>
      <c r="CO59" s="145">
        <f t="shared" si="245"/>
        <v>0.21423101678445278</v>
      </c>
      <c r="CP59" s="63">
        <f>994</f>
        <v>994</v>
      </c>
      <c r="CQ59" s="327"/>
      <c r="CS59" s="270">
        <f>+CT59*CU59</f>
        <v>435.75798750000007</v>
      </c>
      <c r="CT59" s="269">
        <f>+(1.441+0.056)*91.25</f>
        <v>136.60125000000002</v>
      </c>
      <c r="CU59" s="133">
        <v>3.19</v>
      </c>
      <c r="CV59" s="269">
        <f>+CW59*CX59</f>
        <v>520.64512500000001</v>
      </c>
      <c r="CW59" s="269">
        <v>135.23249999999999</v>
      </c>
      <c r="CX59" s="133">
        <v>3.85</v>
      </c>
      <c r="CY59" s="269">
        <f>+CZ59*DA59</f>
        <v>467.40896250000003</v>
      </c>
      <c r="CZ59" s="269">
        <f>1.511*91.25</f>
        <v>137.87875</v>
      </c>
      <c r="DA59" s="133">
        <v>3.39</v>
      </c>
      <c r="DB59" s="269">
        <f t="shared" si="251"/>
        <v>545.78632499999969</v>
      </c>
      <c r="DC59" s="269">
        <f t="shared" si="251"/>
        <v>149.83249999999995</v>
      </c>
      <c r="DD59" s="133">
        <f>+DB59/DC59</f>
        <v>3.6426431181485985</v>
      </c>
      <c r="DE59" s="274">
        <f>+DF59*DG59</f>
        <v>1969.5983999999999</v>
      </c>
      <c r="DF59" s="274">
        <f>(1.49+0.043)*365</f>
        <v>559.54499999999996</v>
      </c>
      <c r="DG59" s="273">
        <v>3.52</v>
      </c>
      <c r="DH59" s="272">
        <f>+DI59*DJ59</f>
        <v>2889.6338249999999</v>
      </c>
      <c r="DI59" s="272">
        <f>(0.148+0.19)*91.25</f>
        <v>30.842499999999998</v>
      </c>
      <c r="DJ59" s="296">
        <v>93.69</v>
      </c>
      <c r="DK59" s="272">
        <f>+DL59*DM59</f>
        <v>2757.5640499999995</v>
      </c>
      <c r="DL59" s="272">
        <f>(0.147+0.176)*91.25</f>
        <v>29.473749999999995</v>
      </c>
      <c r="DM59" s="296">
        <v>93.56</v>
      </c>
      <c r="DN59" s="272">
        <f>+DO59*DP59</f>
        <v>2872.413125</v>
      </c>
      <c r="DO59" s="272">
        <f>(0.153+0.161)*91.25</f>
        <v>28.6525</v>
      </c>
      <c r="DP59" s="296">
        <v>100.25</v>
      </c>
      <c r="DQ59" s="272">
        <f t="shared" si="252"/>
        <v>3006.2495000000008</v>
      </c>
      <c r="DR59" s="272">
        <f t="shared" si="252"/>
        <v>31.481249999999992</v>
      </c>
      <c r="DS59" s="296">
        <f>+DQ59/DR59</f>
        <v>95.493333333333382</v>
      </c>
      <c r="DT59" s="277">
        <f>+DU59*DV59</f>
        <v>11525.860499999999</v>
      </c>
      <c r="DU59" s="277">
        <f>(0.152+0.178)*365</f>
        <v>120.44999999999999</v>
      </c>
      <c r="DV59" s="297">
        <v>95.69</v>
      </c>
      <c r="DW59" s="99">
        <f>+DX59*DY59</f>
        <v>283.41337499999997</v>
      </c>
      <c r="DX59" s="99">
        <f>0.105*91.25</f>
        <v>9.5812499999999989</v>
      </c>
      <c r="DY59" s="298">
        <v>29.58</v>
      </c>
      <c r="DZ59" s="99">
        <f>+EA59*EB59</f>
        <v>283.40424999999999</v>
      </c>
      <c r="EA59" s="99">
        <f>0.106*91.25</f>
        <v>9.6724999999999994</v>
      </c>
      <c r="EB59" s="298">
        <v>29.3</v>
      </c>
      <c r="EC59" s="99">
        <f>+ED59*EE59</f>
        <v>312.06131249999999</v>
      </c>
      <c r="ED59" s="99">
        <f>+(0.094+0.011)*91.25</f>
        <v>9.5812499999999989</v>
      </c>
      <c r="EE59" s="298">
        <v>32.57</v>
      </c>
      <c r="EF59" s="99">
        <f t="shared" si="253"/>
        <v>339.08226249999996</v>
      </c>
      <c r="EG59" s="99">
        <f t="shared" si="253"/>
        <v>9.8550000000000022</v>
      </c>
      <c r="EH59" s="298">
        <f>+EF59/EG59</f>
        <v>34.407129629629615</v>
      </c>
      <c r="EI59" s="282">
        <f>+EJ59*EK59</f>
        <v>1217.9612</v>
      </c>
      <c r="EJ59" s="282">
        <f>(0.091+0.015)*365</f>
        <v>38.69</v>
      </c>
      <c r="EK59" s="299">
        <v>31.48</v>
      </c>
      <c r="EL59" s="344">
        <v>97.98</v>
      </c>
      <c r="EM59" s="344">
        <v>3.73</v>
      </c>
      <c r="EN59" s="344">
        <v>9.94</v>
      </c>
      <c r="EO59" s="74">
        <v>3.49</v>
      </c>
      <c r="EP59" s="74">
        <v>4.01</v>
      </c>
      <c r="EQ59" s="74">
        <v>3.56</v>
      </c>
      <c r="ER59" s="74">
        <v>3.85</v>
      </c>
      <c r="ES59" s="74">
        <v>9.77</v>
      </c>
      <c r="ET59" s="74">
        <v>9.39</v>
      </c>
      <c r="EU59" s="74">
        <v>10.01</v>
      </c>
      <c r="EV59" s="74">
        <v>10.53</v>
      </c>
      <c r="EW59" s="74">
        <v>94.33</v>
      </c>
      <c r="EX59" s="74">
        <v>94.05</v>
      </c>
      <c r="EY59" s="74">
        <v>105.83</v>
      </c>
      <c r="EZ59" s="74">
        <v>97.44</v>
      </c>
    </row>
    <row r="60" spans="1:156" s="225" customFormat="1" ht="26.25" customHeight="1" x14ac:dyDescent="0.3">
      <c r="A60" s="43" t="s">
        <v>41</v>
      </c>
      <c r="B60" s="43" t="s">
        <v>42</v>
      </c>
      <c r="C60" s="53">
        <v>2014</v>
      </c>
      <c r="D60" s="52">
        <v>679</v>
      </c>
      <c r="E60" s="52">
        <v>132</v>
      </c>
      <c r="F60" s="52">
        <v>40</v>
      </c>
      <c r="G60" s="52">
        <f t="shared" si="0"/>
        <v>285.16666666666669</v>
      </c>
      <c r="H60" s="52">
        <f t="shared" si="1"/>
        <v>1711</v>
      </c>
      <c r="I60" s="52">
        <f>1443-D60+186</f>
        <v>950</v>
      </c>
      <c r="J60" s="52">
        <f>215-E60+7</f>
        <v>90</v>
      </c>
      <c r="K60" s="52">
        <f>55-F60+2+4+43</f>
        <v>64</v>
      </c>
      <c r="L60" s="52">
        <f t="shared" si="2"/>
        <v>312.33333333333337</v>
      </c>
      <c r="M60" s="52">
        <f t="shared" si="3"/>
        <v>1874</v>
      </c>
      <c r="N60" s="52">
        <f t="shared" si="95"/>
        <v>597.5</v>
      </c>
      <c r="O60" s="52">
        <f t="shared" si="95"/>
        <v>3585</v>
      </c>
      <c r="P60" s="54">
        <f t="shared" si="5"/>
        <v>0.47726638772663876</v>
      </c>
      <c r="Q60" s="54">
        <f t="shared" si="215"/>
        <v>0.39684395090590296</v>
      </c>
      <c r="R60" s="54">
        <f t="shared" si="12"/>
        <v>0.46288720046756282</v>
      </c>
      <c r="S60" s="54">
        <f t="shared" si="13"/>
        <v>0.14026884862653419</v>
      </c>
      <c r="T60" s="208">
        <v>476</v>
      </c>
      <c r="U60" s="208">
        <v>103</v>
      </c>
      <c r="V60" s="208">
        <v>1079</v>
      </c>
      <c r="W60" s="52">
        <f t="shared" si="217"/>
        <v>4553</v>
      </c>
      <c r="X60" s="52">
        <f t="shared" si="219"/>
        <v>368</v>
      </c>
      <c r="Y60" s="52">
        <f t="shared" si="220"/>
        <v>758.83333333333337</v>
      </c>
      <c r="Z60" s="52">
        <f t="shared" si="221"/>
        <v>61.333333333333371</v>
      </c>
      <c r="AA60" s="205">
        <f t="shared" si="246"/>
        <v>8.7933094384707339E-2</v>
      </c>
      <c r="AB60" s="44"/>
      <c r="AC60" s="45">
        <v>506</v>
      </c>
      <c r="AD60" s="45">
        <v>263</v>
      </c>
      <c r="AE60" s="45">
        <v>0</v>
      </c>
      <c r="AF60" s="45">
        <v>0</v>
      </c>
      <c r="AG60" s="55">
        <f>SUM(AC60:AF60)</f>
        <v>769</v>
      </c>
      <c r="AH60" s="45">
        <v>19</v>
      </c>
      <c r="AI60" s="45">
        <v>132</v>
      </c>
      <c r="AJ60" s="45">
        <v>0</v>
      </c>
      <c r="AK60" s="45">
        <v>8</v>
      </c>
      <c r="AL60" s="55">
        <f t="shared" si="216"/>
        <v>159</v>
      </c>
      <c r="AM60" s="45">
        <v>-13</v>
      </c>
      <c r="AN60" s="45">
        <v>26</v>
      </c>
      <c r="AO60" s="45">
        <v>0</v>
      </c>
      <c r="AP60" s="45">
        <v>0</v>
      </c>
      <c r="AQ60" s="55">
        <f>SUM(AM60:AP60)</f>
        <v>13</v>
      </c>
      <c r="AR60" s="55">
        <f t="shared" si="9"/>
        <v>1801</v>
      </c>
      <c r="AS60" s="55">
        <f t="shared" si="10"/>
        <v>300.16666666666663</v>
      </c>
      <c r="AT60" s="46">
        <v>159</v>
      </c>
      <c r="AU60" s="46">
        <v>10</v>
      </c>
      <c r="AV60" s="46">
        <v>1477</v>
      </c>
      <c r="AW60" s="46">
        <v>6144</v>
      </c>
      <c r="AX60" s="50">
        <f t="shared" si="164"/>
        <v>7790</v>
      </c>
      <c r="AY60" s="52">
        <f t="shared" si="222"/>
        <v>20949</v>
      </c>
      <c r="AZ60" s="52">
        <f t="shared" si="223"/>
        <v>1076.6666666666665</v>
      </c>
      <c r="BA60" s="52">
        <f t="shared" si="224"/>
        <v>6460</v>
      </c>
      <c r="BB60" s="50">
        <f t="shared" si="225"/>
        <v>19.457275541795667</v>
      </c>
      <c r="BC60" s="50">
        <f t="shared" si="226"/>
        <v>3.2428792569659444</v>
      </c>
      <c r="BD60" s="44"/>
      <c r="BE60" s="47">
        <f>3687+659</f>
        <v>4346</v>
      </c>
      <c r="BF60" s="48">
        <v>735</v>
      </c>
      <c r="BG60" s="48">
        <v>0</v>
      </c>
      <c r="BH60" s="47">
        <f t="shared" si="247"/>
        <v>350.79079497907946</v>
      </c>
      <c r="BI60" s="48">
        <v>4203</v>
      </c>
      <c r="BJ60" s="48">
        <v>0</v>
      </c>
      <c r="BK60" s="47">
        <f t="shared" si="248"/>
        <v>2005.9506276150628</v>
      </c>
      <c r="BL60" s="48">
        <v>0</v>
      </c>
      <c r="BM60" s="48">
        <v>1542</v>
      </c>
      <c r="BN60" s="47">
        <f t="shared" si="249"/>
        <v>1542</v>
      </c>
      <c r="BO60" s="48">
        <v>1136</v>
      </c>
      <c r="BP60" s="48">
        <v>0</v>
      </c>
      <c r="BQ60" s="47">
        <f t="shared" si="250"/>
        <v>542.17461645746164</v>
      </c>
      <c r="BR60" s="48">
        <v>52524</v>
      </c>
      <c r="BS60" s="48">
        <v>52524</v>
      </c>
      <c r="BT60" s="202">
        <f t="shared" si="227"/>
        <v>0.47726638772663876</v>
      </c>
      <c r="BU60" s="49">
        <f t="shared" si="228"/>
        <v>8786.9160390516045</v>
      </c>
      <c r="BV60" s="50">
        <f t="shared" si="229"/>
        <v>30.813264894394869</v>
      </c>
      <c r="BW60" s="50">
        <f t="shared" si="230"/>
        <v>5.1355441490658125</v>
      </c>
      <c r="BX60" s="44"/>
      <c r="BY60" s="91">
        <f t="shared" si="231"/>
        <v>16576.916039051604</v>
      </c>
      <c r="BZ60" s="56">
        <f t="shared" si="232"/>
        <v>1657.6916039051605</v>
      </c>
      <c r="CA60" s="141">
        <f t="shared" si="233"/>
        <v>0.21279738175932741</v>
      </c>
      <c r="CB60" s="56">
        <f t="shared" si="234"/>
        <v>5.8130623164412407</v>
      </c>
      <c r="CC60" s="56">
        <f t="shared" si="235"/>
        <v>0.96884371940687342</v>
      </c>
      <c r="CD60" s="56">
        <f t="shared" si="236"/>
        <v>27.317358270017532</v>
      </c>
      <c r="CE60" s="56">
        <f t="shared" si="236"/>
        <v>4.5528930450029224</v>
      </c>
      <c r="CF60" s="56">
        <f t="shared" si="237"/>
        <v>50.270540436190537</v>
      </c>
      <c r="CG60" s="56">
        <f t="shared" si="238"/>
        <v>56.083602752631776</v>
      </c>
      <c r="CH60" s="56">
        <f t="shared" si="239"/>
        <v>77.587898706208065</v>
      </c>
      <c r="CI60" s="56">
        <f t="shared" si="240"/>
        <v>8.3784234060317573</v>
      </c>
      <c r="CJ60" s="56">
        <f t="shared" si="241"/>
        <v>9.3472671254386306</v>
      </c>
      <c r="CK60" s="56">
        <f t="shared" si="242"/>
        <v>12.931316451034679</v>
      </c>
      <c r="CL60" s="51">
        <v>4</v>
      </c>
      <c r="CM60" s="56">
        <f t="shared" si="243"/>
        <v>5.0270540436190538</v>
      </c>
      <c r="CN60" s="56">
        <f t="shared" si="244"/>
        <v>1433.5482447720335</v>
      </c>
      <c r="CO60" s="173">
        <f t="shared" si="245"/>
        <v>0.18402416492580662</v>
      </c>
      <c r="CP60" s="174">
        <v>1299</v>
      </c>
      <c r="CQ60" s="328"/>
      <c r="CR60" s="82"/>
      <c r="CS60" s="270">
        <f>+CT60*CU60</f>
        <v>683.04092500000002</v>
      </c>
      <c r="CT60" s="269">
        <f>+(1.468+0.0055)*91.25</f>
        <v>134.456875</v>
      </c>
      <c r="CU60" s="133">
        <v>5.08</v>
      </c>
      <c r="CV60" s="269">
        <f>+CW60*CX60</f>
        <v>604.33506250000005</v>
      </c>
      <c r="CW60" s="269">
        <v>136.41875000000002</v>
      </c>
      <c r="CX60" s="133">
        <v>4.43</v>
      </c>
      <c r="CY60" s="269">
        <f>+CZ60*DA60</f>
        <v>553.94955000000004</v>
      </c>
      <c r="CZ60" s="269">
        <f>(1.485+0.048)*91.25</f>
        <v>139.88625000000002</v>
      </c>
      <c r="DA60" s="133">
        <v>3.96</v>
      </c>
      <c r="DB60" s="269">
        <f t="shared" si="251"/>
        <v>586.94646250000028</v>
      </c>
      <c r="DC60" s="269">
        <f t="shared" si="251"/>
        <v>151.33812499999999</v>
      </c>
      <c r="DD60" s="133">
        <f>+DB60/DC60</f>
        <v>3.8783780524570415</v>
      </c>
      <c r="DE60" s="274">
        <f>+DF60*DG60</f>
        <v>2428.2720000000004</v>
      </c>
      <c r="DF60" s="274">
        <f>(1.491+0.049)*365</f>
        <v>562.1</v>
      </c>
      <c r="DG60" s="273">
        <v>4.32</v>
      </c>
      <c r="DH60" s="272">
        <f>+DI60*DJ60</f>
        <v>2739.1936000000001</v>
      </c>
      <c r="DI60" s="272">
        <f>(0.171+0.157)*91.25</f>
        <v>29.93</v>
      </c>
      <c r="DJ60" s="296">
        <v>91.52</v>
      </c>
      <c r="DK60" s="272">
        <f>+DL60*DM60</f>
        <v>3087.5833625</v>
      </c>
      <c r="DL60" s="272">
        <f>(0.191+0.17)*91.25</f>
        <v>32.941249999999997</v>
      </c>
      <c r="DM60" s="296">
        <v>93.73</v>
      </c>
      <c r="DN60" s="272">
        <f>+DO60*DP60</f>
        <v>2647.189875</v>
      </c>
      <c r="DO60" s="272">
        <f>(0.191+0.139)*91.25</f>
        <v>30.112500000000001</v>
      </c>
      <c r="DP60" s="296">
        <v>87.91</v>
      </c>
      <c r="DQ60" s="272">
        <f t="shared" si="252"/>
        <v>2465.2656624999986</v>
      </c>
      <c r="DR60" s="272">
        <f t="shared" si="252"/>
        <v>34.766249999999992</v>
      </c>
      <c r="DS60" s="296">
        <f>+DQ60/DR60</f>
        <v>70.909737532808379</v>
      </c>
      <c r="DT60" s="277">
        <f>+DU60*DV60</f>
        <v>10939.232499999998</v>
      </c>
      <c r="DU60" s="277">
        <f>(0.188+0.162)*365</f>
        <v>127.74999999999999</v>
      </c>
      <c r="DV60" s="297">
        <v>85.63</v>
      </c>
      <c r="DW60" s="99">
        <f>+DX60*DY60</f>
        <v>352.080825</v>
      </c>
      <c r="DX60" s="99">
        <f>0.107*91.25</f>
        <v>9.7637499999999999</v>
      </c>
      <c r="DY60" s="298">
        <v>36.06</v>
      </c>
      <c r="DZ60" s="99">
        <f>+EA60*EB60</f>
        <v>331.09880000000004</v>
      </c>
      <c r="EA60" s="99">
        <f>0.116*91.25</f>
        <v>10.585000000000001</v>
      </c>
      <c r="EB60" s="298">
        <v>31.28</v>
      </c>
      <c r="EC60" s="99">
        <f>+ED60*EE60</f>
        <v>313.44739999999996</v>
      </c>
      <c r="ED60" s="99">
        <f>+(0.104+0.008)*91.25</f>
        <v>10.219999999999999</v>
      </c>
      <c r="EE60" s="298">
        <v>30.67</v>
      </c>
      <c r="EF60" s="99">
        <f t="shared" si="253"/>
        <v>237.58397499999978</v>
      </c>
      <c r="EG60" s="99">
        <f t="shared" si="253"/>
        <v>9.5812499999999989</v>
      </c>
      <c r="EH60" s="298">
        <f>+EF60/EG60</f>
        <v>24.796761904761883</v>
      </c>
      <c r="EI60" s="282">
        <f>+EJ60*EK60</f>
        <v>1234.2109999999998</v>
      </c>
      <c r="EJ60" s="282">
        <f>(0.097+0.013)*365</f>
        <v>40.15</v>
      </c>
      <c r="EK60" s="299">
        <v>30.74</v>
      </c>
      <c r="EL60" s="344">
        <v>93.17</v>
      </c>
      <c r="EM60" s="344">
        <v>4.37</v>
      </c>
      <c r="EN60" s="344">
        <v>9.56</v>
      </c>
      <c r="EO60" s="74">
        <v>5.21</v>
      </c>
      <c r="EP60" s="74">
        <v>4.6100000000000003</v>
      </c>
      <c r="EQ60" s="74">
        <v>3.96</v>
      </c>
      <c r="ER60" s="74">
        <v>3.8</v>
      </c>
      <c r="ES60" s="74">
        <v>11.19</v>
      </c>
      <c r="ET60" s="74">
        <v>10.15</v>
      </c>
      <c r="EU60" s="74">
        <v>9.83</v>
      </c>
      <c r="EV60" s="74">
        <v>7.41</v>
      </c>
      <c r="EW60" s="74">
        <v>98.68</v>
      </c>
      <c r="EX60" s="74">
        <v>103.35</v>
      </c>
      <c r="EY60" s="74">
        <v>97.87</v>
      </c>
      <c r="EZ60" s="74">
        <v>73.209999999999994</v>
      </c>
    </row>
    <row r="61" spans="1:156" s="225" customFormat="1" ht="26.25" customHeight="1" x14ac:dyDescent="0.3">
      <c r="A61" s="43" t="s">
        <v>41</v>
      </c>
      <c r="B61" s="43" t="s">
        <v>42</v>
      </c>
      <c r="C61" s="53">
        <v>2015</v>
      </c>
      <c r="D61" s="52">
        <v>671</v>
      </c>
      <c r="E61" s="52">
        <v>135</v>
      </c>
      <c r="F61" s="52">
        <v>41</v>
      </c>
      <c r="G61" s="52">
        <f t="shared" si="0"/>
        <v>287.83333333333331</v>
      </c>
      <c r="H61" s="52">
        <f t="shared" si="1"/>
        <v>1727</v>
      </c>
      <c r="I61" s="52">
        <f>1404-D61+239</f>
        <v>972</v>
      </c>
      <c r="J61" s="52">
        <f>216-E61+6</f>
        <v>87</v>
      </c>
      <c r="K61" s="52">
        <f>56-F61+3+5+51</f>
        <v>74</v>
      </c>
      <c r="L61" s="52">
        <f>I61/6+J61+K61</f>
        <v>323</v>
      </c>
      <c r="M61" s="52">
        <f>I61+J61*6+K61*6</f>
        <v>1938</v>
      </c>
      <c r="N61" s="52">
        <f>G61+L61</f>
        <v>610.83333333333326</v>
      </c>
      <c r="O61" s="52">
        <f>H61+M61</f>
        <v>3665</v>
      </c>
      <c r="P61" s="54">
        <f t="shared" ref="P61:P72" si="254">+H61/O61</f>
        <v>0.47121418826739425</v>
      </c>
      <c r="Q61" s="54">
        <f t="shared" si="215"/>
        <v>0.38853503184713378</v>
      </c>
      <c r="R61" s="54">
        <f t="shared" si="12"/>
        <v>0.46902142443543721</v>
      </c>
      <c r="S61" s="54">
        <f t="shared" si="13"/>
        <v>0.14244354371742907</v>
      </c>
      <c r="T61" s="208">
        <v>401</v>
      </c>
      <c r="U61" s="208">
        <v>86</v>
      </c>
      <c r="V61" s="208">
        <v>747</v>
      </c>
      <c r="W61" s="52">
        <f>+T61*6+U61*6+V61</f>
        <v>3669</v>
      </c>
      <c r="X61" s="52">
        <f t="shared" si="219"/>
        <v>-884</v>
      </c>
      <c r="Y61" s="52">
        <f t="shared" si="220"/>
        <v>611.5</v>
      </c>
      <c r="Z61" s="52">
        <f t="shared" si="221"/>
        <v>-147.33333333333337</v>
      </c>
      <c r="AA61" s="205">
        <f t="shared" si="246"/>
        <v>-0.19415769822095325</v>
      </c>
      <c r="AB61" s="44"/>
      <c r="AC61" s="45">
        <v>-1177</v>
      </c>
      <c r="AD61" s="45">
        <v>107</v>
      </c>
      <c r="AE61" s="45">
        <v>0</v>
      </c>
      <c r="AF61" s="45">
        <v>0</v>
      </c>
      <c r="AG61" s="55">
        <f>SUM(AC61:AF61)</f>
        <v>-1070</v>
      </c>
      <c r="AH61" s="45">
        <v>-184</v>
      </c>
      <c r="AI61" s="45">
        <v>77</v>
      </c>
      <c r="AJ61" s="45">
        <v>0</v>
      </c>
      <c r="AK61" s="45">
        <v>8</v>
      </c>
      <c r="AL61" s="55">
        <f t="shared" si="216"/>
        <v>-99</v>
      </c>
      <c r="AM61" s="45">
        <v>-85</v>
      </c>
      <c r="AN61" s="45">
        <v>10</v>
      </c>
      <c r="AO61" s="45">
        <v>0</v>
      </c>
      <c r="AP61" s="45">
        <v>0</v>
      </c>
      <c r="AQ61" s="55">
        <f>SUM(AM61:AP61)</f>
        <v>-75</v>
      </c>
      <c r="AR61" s="55">
        <f>(AG61)+(AL61*6)+AQ61*6</f>
        <v>-2114</v>
      </c>
      <c r="AS61" s="55">
        <f>AG61/6+AL61+AQ61</f>
        <v>-352.33333333333337</v>
      </c>
      <c r="AT61" s="46">
        <v>168</v>
      </c>
      <c r="AU61" s="46">
        <v>5</v>
      </c>
      <c r="AV61" s="46">
        <v>1456</v>
      </c>
      <c r="AW61" s="46">
        <v>4092</v>
      </c>
      <c r="AX61" s="50">
        <f t="shared" si="164"/>
        <v>5721</v>
      </c>
      <c r="AY61" s="52">
        <f>SUM(AX59:AX61)</f>
        <v>20136</v>
      </c>
      <c r="AZ61" s="52">
        <f t="shared" si="223"/>
        <v>461.66666666666663</v>
      </c>
      <c r="BA61" s="52">
        <f t="shared" si="224"/>
        <v>2770</v>
      </c>
      <c r="BB61" s="50">
        <f>AY61/AZ61</f>
        <v>43.615884476534298</v>
      </c>
      <c r="BC61" s="50">
        <f>AY61/BA61</f>
        <v>7.2693140794223829</v>
      </c>
      <c r="BD61" s="44"/>
      <c r="BE61" s="47">
        <f>3662+599</f>
        <v>4261</v>
      </c>
      <c r="BF61" s="48">
        <v>953</v>
      </c>
      <c r="BG61" s="48">
        <v>0</v>
      </c>
      <c r="BH61" s="47">
        <f t="shared" si="247"/>
        <v>449.06712141882673</v>
      </c>
      <c r="BI61" s="48">
        <v>523</v>
      </c>
      <c r="BJ61" s="48">
        <v>0</v>
      </c>
      <c r="BK61" s="47">
        <f t="shared" si="248"/>
        <v>246.44502046384719</v>
      </c>
      <c r="BL61" s="48">
        <v>0</v>
      </c>
      <c r="BM61" s="48">
        <v>639</v>
      </c>
      <c r="BN61" s="47">
        <f t="shared" si="249"/>
        <v>639</v>
      </c>
      <c r="BO61" s="48">
        <v>1214</v>
      </c>
      <c r="BP61" s="48">
        <v>0</v>
      </c>
      <c r="BQ61" s="47">
        <f t="shared" si="250"/>
        <v>572.05402455661658</v>
      </c>
      <c r="BR61" s="48">
        <v>29564</v>
      </c>
      <c r="BS61" s="48">
        <v>29564</v>
      </c>
      <c r="BT61" s="202">
        <f t="shared" si="227"/>
        <v>0.47121418826739425</v>
      </c>
      <c r="BU61" s="49">
        <f t="shared" si="228"/>
        <v>6167.5661664392901</v>
      </c>
      <c r="BV61" s="50">
        <f t="shared" si="229"/>
        <v>21.427560508764181</v>
      </c>
      <c r="BW61" s="50">
        <f t="shared" si="230"/>
        <v>3.5712600847940301</v>
      </c>
      <c r="BX61" s="44"/>
      <c r="BY61" s="91">
        <f t="shared" si="231"/>
        <v>11888.56616643929</v>
      </c>
      <c r="BZ61" s="56">
        <f>(BY61*0.1)</f>
        <v>1188.8566166439291</v>
      </c>
      <c r="CA61" s="141">
        <f t="shared" si="233"/>
        <v>0.20780573617268469</v>
      </c>
      <c r="CB61" s="56">
        <f t="shared" si="234"/>
        <v>4.1303646206505933</v>
      </c>
      <c r="CC61" s="56">
        <f t="shared" si="235"/>
        <v>0.68839410344176555</v>
      </c>
      <c r="CD61" s="56">
        <f t="shared" si="236"/>
        <v>19.87608569774175</v>
      </c>
      <c r="CE61" s="56">
        <f t="shared" si="236"/>
        <v>3.3126809496236249</v>
      </c>
      <c r="CF61" s="56">
        <f t="shared" si="237"/>
        <v>65.043444985298478</v>
      </c>
      <c r="CG61" s="56">
        <f>CB61+CF61</f>
        <v>69.173809605949074</v>
      </c>
      <c r="CH61" s="56">
        <f>CF61+CD61</f>
        <v>84.919530683040222</v>
      </c>
      <c r="CI61" s="56">
        <f t="shared" si="240"/>
        <v>10.840574164216413</v>
      </c>
      <c r="CJ61" s="56">
        <f>+CI61+CC61</f>
        <v>11.528968267658179</v>
      </c>
      <c r="CK61" s="56">
        <f>+CI61+CE61</f>
        <v>14.153255113840038</v>
      </c>
      <c r="CL61" s="51">
        <v>4</v>
      </c>
      <c r="CM61" s="56">
        <f t="shared" si="243"/>
        <v>6.5043444985298482</v>
      </c>
      <c r="CN61" s="56">
        <f t="shared" si="244"/>
        <v>1872.1671581601745</v>
      </c>
      <c r="CO61" s="173">
        <f t="shared" si="245"/>
        <v>0.32724474010840315</v>
      </c>
      <c r="CP61" s="174">
        <v>1260</v>
      </c>
      <c r="CQ61" s="328"/>
      <c r="CR61" s="169"/>
      <c r="CS61" s="270">
        <f>+CT61*CU61</f>
        <v>369.39824999999996</v>
      </c>
      <c r="CT61" s="269">
        <f>+(1.505+0.052)*91.25</f>
        <v>142.07624999999999</v>
      </c>
      <c r="CU61" s="133">
        <v>2.6</v>
      </c>
      <c r="CV61" s="269">
        <f>+CW61*CX61</f>
        <v>334.88384999999994</v>
      </c>
      <c r="CW61" s="269">
        <f>+(1.501+0.041)*91.25</f>
        <v>140.70749999999998</v>
      </c>
      <c r="CX61" s="133">
        <v>2.38</v>
      </c>
      <c r="CY61" s="269">
        <f>+CZ61*DA61</f>
        <v>360.54243750000001</v>
      </c>
      <c r="CZ61" s="269">
        <f>+(1.457+0.034)*91.25</f>
        <v>136.05375000000001</v>
      </c>
      <c r="DA61" s="133">
        <v>2.65</v>
      </c>
      <c r="DB61" s="269">
        <f t="shared" si="251"/>
        <v>306.43301250000013</v>
      </c>
      <c r="DC61" s="269">
        <f t="shared" si="251"/>
        <v>136.32750000000001</v>
      </c>
      <c r="DD61" s="133">
        <f>+DB61/DC61</f>
        <v>2.2477710843373502</v>
      </c>
      <c r="DE61" s="274">
        <f>+DF61*DG61</f>
        <v>1371.25755</v>
      </c>
      <c r="DF61" s="274">
        <f>+(1.472+0.049)*365</f>
        <v>555.16499999999996</v>
      </c>
      <c r="DG61" s="273">
        <v>2.4700000000000002</v>
      </c>
      <c r="DH61" s="272">
        <f>+DI61*DJ61</f>
        <v>1361.6160750000001</v>
      </c>
      <c r="DI61" s="272">
        <f>+(0.198+0.168)*91.25</f>
        <v>33.397500000000001</v>
      </c>
      <c r="DJ61" s="296">
        <v>40.770000000000003</v>
      </c>
      <c r="DK61" s="272">
        <f>+DL61*DM61</f>
        <v>1722.7662375</v>
      </c>
      <c r="DL61" s="272">
        <f>+(0.209+0.154)*91.25</f>
        <v>33.123750000000001</v>
      </c>
      <c r="DM61" s="296">
        <v>52.01</v>
      </c>
      <c r="DN61" s="272">
        <f>+DO61*DP61</f>
        <v>1353.86895</v>
      </c>
      <c r="DO61" s="272">
        <f>+(0.213+0.144)*91.25</f>
        <v>32.576250000000002</v>
      </c>
      <c r="DP61" s="296">
        <v>41.56</v>
      </c>
      <c r="DQ61" s="272">
        <f t="shared" si="252"/>
        <v>1177.7409374999995</v>
      </c>
      <c r="DR61" s="272">
        <f t="shared" si="252"/>
        <v>33.762499999999982</v>
      </c>
      <c r="DS61" s="296">
        <f>+DQ61/DR61</f>
        <v>34.883108108108111</v>
      </c>
      <c r="DT61" s="277">
        <f>+DU61*DV61</f>
        <v>5615.9921999999997</v>
      </c>
      <c r="DU61" s="277">
        <f>+(0.206+0.158)*365</f>
        <v>132.85999999999999</v>
      </c>
      <c r="DV61" s="297">
        <v>42.27</v>
      </c>
      <c r="DW61" s="99">
        <f>+DX61*DY61</f>
        <v>151.8263125</v>
      </c>
      <c r="DX61" s="99">
        <f>+(0.093+0.014)*91.25</f>
        <v>9.7637499999999999</v>
      </c>
      <c r="DY61" s="298">
        <v>15.55</v>
      </c>
      <c r="DZ61" s="99">
        <f>+EA61*EB61</f>
        <v>157.65901250000002</v>
      </c>
      <c r="EA61" s="99">
        <f>+(0.097+0.016)*91.25</f>
        <v>10.311250000000001</v>
      </c>
      <c r="EB61" s="298">
        <v>15.29</v>
      </c>
      <c r="EC61" s="99">
        <f>+ED61*EE61</f>
        <v>120.2446875</v>
      </c>
      <c r="ED61" s="99">
        <f>+(0.095+0.01)*91.25</f>
        <v>9.5812499999999989</v>
      </c>
      <c r="EE61" s="298">
        <v>12.55</v>
      </c>
      <c r="EF61" s="99">
        <f t="shared" si="253"/>
        <v>132.77148749999995</v>
      </c>
      <c r="EG61" s="99">
        <f t="shared" si="253"/>
        <v>10.49375</v>
      </c>
      <c r="EH61" s="298">
        <f>+EF61/EG61</f>
        <v>12.65243478260869</v>
      </c>
      <c r="EI61" s="282">
        <f>+EJ61*EK61</f>
        <v>562.50149999999996</v>
      </c>
      <c r="EJ61" s="282">
        <f>+(0.094+0.016)*365</f>
        <v>40.15</v>
      </c>
      <c r="EK61" s="299">
        <v>14.01</v>
      </c>
      <c r="EL61" s="344">
        <v>48.66</v>
      </c>
      <c r="EM61" s="344">
        <v>2.62</v>
      </c>
      <c r="EN61" s="344">
        <v>4.97</v>
      </c>
      <c r="EO61" s="331">
        <v>2.9</v>
      </c>
      <c r="EP61" s="331">
        <v>2.75</v>
      </c>
      <c r="EQ61" s="331">
        <v>2.76</v>
      </c>
      <c r="ER61" s="331">
        <v>2.12</v>
      </c>
      <c r="ES61" s="331">
        <v>5.43</v>
      </c>
      <c r="ET61" s="331">
        <v>5.2</v>
      </c>
      <c r="EU61" s="331">
        <v>4.68</v>
      </c>
      <c r="EV61" s="331">
        <v>4.5999999999999996</v>
      </c>
      <c r="EW61" s="331">
        <v>48.49</v>
      </c>
      <c r="EX61" s="331">
        <v>57.85</v>
      </c>
      <c r="EY61" s="331">
        <v>46.64</v>
      </c>
      <c r="EZ61" s="331">
        <v>41.94</v>
      </c>
    </row>
    <row r="62" spans="1:156" s="225" customFormat="1" ht="26.25" customHeight="1" x14ac:dyDescent="0.3">
      <c r="A62" s="228" t="s">
        <v>41</v>
      </c>
      <c r="B62" s="228" t="s">
        <v>42</v>
      </c>
      <c r="C62" s="229">
        <v>2016</v>
      </c>
      <c r="D62" s="216">
        <v>567</v>
      </c>
      <c r="E62" s="216">
        <v>131</v>
      </c>
      <c r="F62" s="216">
        <v>36</v>
      </c>
      <c r="G62" s="216">
        <f t="shared" si="0"/>
        <v>261.5</v>
      </c>
      <c r="H62" s="216">
        <f t="shared" si="1"/>
        <v>1569</v>
      </c>
      <c r="I62" s="216">
        <f>1224+337-D62</f>
        <v>994</v>
      </c>
      <c r="J62" s="216">
        <f>213+5-E62</f>
        <v>87</v>
      </c>
      <c r="K62" s="216">
        <f>50+3-F62+13+54</f>
        <v>84</v>
      </c>
      <c r="L62" s="216">
        <f>I62/6+J62+K62</f>
        <v>336.66666666666663</v>
      </c>
      <c r="M62" s="216">
        <f>I62+J62*6+K62*6</f>
        <v>2020</v>
      </c>
      <c r="N62" s="216">
        <f>G62+L62</f>
        <v>598.16666666666663</v>
      </c>
      <c r="O62" s="216">
        <f>H62+M62</f>
        <v>3589</v>
      </c>
      <c r="P62" s="302">
        <f t="shared" si="254"/>
        <v>0.43716912789077739</v>
      </c>
      <c r="Q62" s="302">
        <f t="shared" si="215"/>
        <v>0.36137667304015297</v>
      </c>
      <c r="R62" s="302">
        <f t="shared" si="12"/>
        <v>0.50095602294455066</v>
      </c>
      <c r="S62" s="302">
        <f t="shared" si="13"/>
        <v>0.13766730401529637</v>
      </c>
      <c r="T62" s="209">
        <v>340</v>
      </c>
      <c r="U62" s="209">
        <v>69</v>
      </c>
      <c r="V62" s="209">
        <v>523</v>
      </c>
      <c r="W62" s="216">
        <f>+T62*6+U62*6+V62</f>
        <v>2977</v>
      </c>
      <c r="X62" s="216">
        <f t="shared" si="219"/>
        <v>-692</v>
      </c>
      <c r="Y62" s="216">
        <f>+W62/6</f>
        <v>496.16666666666669</v>
      </c>
      <c r="Z62" s="216">
        <f t="shared" si="221"/>
        <v>-115.33333333333331</v>
      </c>
      <c r="AA62" s="206">
        <f t="shared" si="246"/>
        <v>-0.18860724993186151</v>
      </c>
      <c r="AB62" s="230"/>
      <c r="AC62" s="231">
        <v>-229</v>
      </c>
      <c r="AD62" s="231">
        <v>164</v>
      </c>
      <c r="AE62" s="231">
        <v>0</v>
      </c>
      <c r="AF62" s="231">
        <v>0</v>
      </c>
      <c r="AG62" s="303">
        <f>SUM(AC62:AF62)</f>
        <v>-65</v>
      </c>
      <c r="AH62" s="231">
        <v>-150</v>
      </c>
      <c r="AI62" s="231">
        <v>112</v>
      </c>
      <c r="AJ62" s="231">
        <v>9</v>
      </c>
      <c r="AK62" s="231">
        <v>0</v>
      </c>
      <c r="AL62" s="303">
        <f t="shared" si="216"/>
        <v>-29</v>
      </c>
      <c r="AM62" s="231">
        <v>-32</v>
      </c>
      <c r="AN62" s="231">
        <v>18</v>
      </c>
      <c r="AO62" s="231">
        <v>0</v>
      </c>
      <c r="AP62" s="231">
        <v>0</v>
      </c>
      <c r="AQ62" s="303">
        <f>SUM(AM62:AP62)</f>
        <v>-14</v>
      </c>
      <c r="AR62" s="303">
        <f>(AG62)+(AL62*6)+AQ62*6</f>
        <v>-323</v>
      </c>
      <c r="AS62" s="303">
        <f>AG62/6+AL62+AQ62</f>
        <v>-53.833333333333336</v>
      </c>
      <c r="AT62" s="232">
        <v>127</v>
      </c>
      <c r="AU62" s="232">
        <v>5</v>
      </c>
      <c r="AV62" s="232">
        <v>766</v>
      </c>
      <c r="AW62" s="232">
        <v>1502</v>
      </c>
      <c r="AX62" s="215">
        <f t="shared" si="164"/>
        <v>2400</v>
      </c>
      <c r="AY62" s="216">
        <f>SUM(AX60:AX62)</f>
        <v>15911</v>
      </c>
      <c r="AZ62" s="216">
        <f>SUM(AS60:AS62)</f>
        <v>-106.00000000000009</v>
      </c>
      <c r="BA62" s="216">
        <f>SUM(AR60:AR62)</f>
        <v>-636</v>
      </c>
      <c r="BB62" s="215">
        <f>AY62/AZ62</f>
        <v>-150.10377358490555</v>
      </c>
      <c r="BC62" s="215">
        <f>AY62/BA62</f>
        <v>-25.017295597484278</v>
      </c>
      <c r="BD62" s="230"/>
      <c r="BE62" s="212">
        <f>3023+676</f>
        <v>3699</v>
      </c>
      <c r="BF62" s="200">
        <v>723</v>
      </c>
      <c r="BG62" s="200">
        <v>0</v>
      </c>
      <c r="BH62" s="212">
        <f>IF(BG62=0,BF62*P62*BR62/BS62,BG62)</f>
        <v>316.07327946503204</v>
      </c>
      <c r="BI62" s="200">
        <v>-318</v>
      </c>
      <c r="BJ62" s="200">
        <v>0</v>
      </c>
      <c r="BK62" s="212">
        <f>IF(BJ62=0,BI62*P62*BR62/BS62,BJ62)</f>
        <v>-139.01978266926722</v>
      </c>
      <c r="BL62" s="200">
        <v>0</v>
      </c>
      <c r="BM62" s="200">
        <v>539</v>
      </c>
      <c r="BN62" s="212">
        <f>IF(BM62=0,BL62*P62*BR62/BS62,BM62)</f>
        <v>539</v>
      </c>
      <c r="BO62" s="200">
        <f>1279+123</f>
        <v>1402</v>
      </c>
      <c r="BP62" s="200">
        <v>0</v>
      </c>
      <c r="BQ62" s="212">
        <f>IF(BP62=0,BO62*P62,BP62)</f>
        <v>612.91111730286991</v>
      </c>
      <c r="BR62" s="200">
        <v>23693</v>
      </c>
      <c r="BS62" s="200">
        <v>23693</v>
      </c>
      <c r="BT62" s="203">
        <f t="shared" si="227"/>
        <v>0.43716912789077739</v>
      </c>
      <c r="BU62" s="220">
        <f t="shared" si="228"/>
        <v>5027.9646140986351</v>
      </c>
      <c r="BV62" s="215">
        <f t="shared" si="229"/>
        <v>19.227398141868587</v>
      </c>
      <c r="BW62" s="215">
        <f t="shared" si="230"/>
        <v>3.2045663569780976</v>
      </c>
      <c r="BX62" s="230"/>
      <c r="BY62" s="304">
        <f>BU62+AX62</f>
        <v>7427.9646140986351</v>
      </c>
      <c r="BZ62" s="305">
        <f>(BY62*0.1)</f>
        <v>742.79646140986358</v>
      </c>
      <c r="CA62" s="306">
        <f>+BZ62/AX62</f>
        <v>0.30949852558744317</v>
      </c>
      <c r="CB62" s="305">
        <f>BZ62/G62</f>
        <v>2.8405218409555011</v>
      </c>
      <c r="CC62" s="305">
        <f>BZ62/H62</f>
        <v>0.4734203068259169</v>
      </c>
      <c r="CD62" s="305">
        <f>+$AX62/G62</f>
        <v>9.1778202676864247</v>
      </c>
      <c r="CE62" s="305">
        <f>+$AX62/H62</f>
        <v>1.5296367112810707</v>
      </c>
      <c r="CF62" s="305">
        <f>BB62+BV62</f>
        <v>-130.87637544303698</v>
      </c>
      <c r="CG62" s="305">
        <f>CB62+CF62</f>
        <v>-128.03585360208149</v>
      </c>
      <c r="CH62" s="305">
        <f>CF62+CD62</f>
        <v>-121.69855517535055</v>
      </c>
      <c r="CI62" s="305">
        <f>+BC62+BW62</f>
        <v>-21.812729240506179</v>
      </c>
      <c r="CJ62" s="305">
        <f>+CI62+CC62</f>
        <v>-21.339308933680261</v>
      </c>
      <c r="CK62" s="305">
        <f>+CI62+CE62</f>
        <v>-20.283092529225108</v>
      </c>
      <c r="CL62" s="307">
        <v>4</v>
      </c>
      <c r="CM62" s="305">
        <f>+CF62/10</f>
        <v>-13.087637544303698</v>
      </c>
      <c r="CN62" s="305">
        <f>+CM62*G62</f>
        <v>-3422.417217835417</v>
      </c>
      <c r="CO62" s="308">
        <f>+CN62/AX62</f>
        <v>-1.4260071740980904</v>
      </c>
      <c r="CP62" s="309">
        <v>1063</v>
      </c>
      <c r="CQ62" s="329"/>
      <c r="CR62" s="325"/>
      <c r="CS62" s="312">
        <f>+CT62*CU62</f>
        <v>205.96949999999998</v>
      </c>
      <c r="CT62" s="313">
        <f>+(1.216+0.038)*91.25</f>
        <v>114.42749999999999</v>
      </c>
      <c r="CU62" s="314">
        <v>1.8</v>
      </c>
      <c r="CV62" s="313">
        <f>+CW62*CX62</f>
        <v>197.16387499999999</v>
      </c>
      <c r="CW62" s="313">
        <f>+(1.244+0.027)*91.25</f>
        <v>115.97874999999999</v>
      </c>
      <c r="CX62" s="314">
        <v>1.7</v>
      </c>
      <c r="CY62" s="313">
        <f>+CZ62*DA62</f>
        <v>293.53117499999996</v>
      </c>
      <c r="CZ62" s="313">
        <f>+(1.224+0.018)*91.25</f>
        <v>113.3325</v>
      </c>
      <c r="DA62" s="314">
        <v>2.59</v>
      </c>
      <c r="DB62" s="313">
        <f t="shared" si="251"/>
        <v>302.26745000000017</v>
      </c>
      <c r="DC62" s="313">
        <f t="shared" si="251"/>
        <v>110.32125000000001</v>
      </c>
      <c r="DD62" s="314">
        <f>+DB62/DC62</f>
        <v>2.7398842018196872</v>
      </c>
      <c r="DE62" s="315">
        <f>+DF62*DG62</f>
        <v>998.93200000000013</v>
      </c>
      <c r="DF62" s="315">
        <f>(1.219+0.025)*365</f>
        <v>454.06</v>
      </c>
      <c r="DG62" s="316">
        <v>2.2000000000000002</v>
      </c>
      <c r="DH62" s="317">
        <f>+DI62*DJ62</f>
        <v>917.87279999999998</v>
      </c>
      <c r="DI62" s="317">
        <f>+(0.202+0.17)*91.25</f>
        <v>33.945</v>
      </c>
      <c r="DJ62" s="318">
        <v>27.04</v>
      </c>
      <c r="DK62" s="317">
        <f>+DL62*DM62</f>
        <v>1330.014375</v>
      </c>
      <c r="DL62" s="317">
        <f>+(0.206+0.163)*91.25</f>
        <v>33.671250000000001</v>
      </c>
      <c r="DM62" s="318">
        <v>39.5</v>
      </c>
      <c r="DN62" s="317">
        <f>+DO62*DP62</f>
        <v>1254.7668874999999</v>
      </c>
      <c r="DO62" s="317">
        <f>+(0.195+0.148)*91.25</f>
        <v>31.298749999999998</v>
      </c>
      <c r="DP62" s="318">
        <v>40.090000000000003</v>
      </c>
      <c r="DQ62" s="317">
        <f t="shared" si="252"/>
        <v>1396.1642375000001</v>
      </c>
      <c r="DR62" s="317">
        <f t="shared" si="252"/>
        <v>31.754999999999988</v>
      </c>
      <c r="DS62" s="318">
        <f>+DQ62/DR62</f>
        <v>43.966752873563237</v>
      </c>
      <c r="DT62" s="319">
        <f>+DU62*DV62</f>
        <v>4898.8182999999999</v>
      </c>
      <c r="DU62" s="319">
        <f>+(195+163)*0.365</f>
        <v>130.66999999999999</v>
      </c>
      <c r="DV62" s="320">
        <v>37.49</v>
      </c>
      <c r="DW62" s="187">
        <f>+DX62*DY62</f>
        <v>86.231249999999989</v>
      </c>
      <c r="DX62" s="187">
        <f>+(0.086+0.014)*91.25</f>
        <v>9.125</v>
      </c>
      <c r="DY62" s="321">
        <v>9.4499999999999993</v>
      </c>
      <c r="DZ62" s="187">
        <f>+EA62*EB62</f>
        <v>134.46508749999998</v>
      </c>
      <c r="EA62" s="187">
        <f>+(0.09+0.011)*91.25</f>
        <v>9.2162499999999987</v>
      </c>
      <c r="EB62" s="321">
        <v>14.59</v>
      </c>
      <c r="EC62" s="187">
        <f>+ED62*EE62</f>
        <v>136.93978749999999</v>
      </c>
      <c r="ED62" s="187">
        <f>+(0.092+0.011)*91.25</f>
        <v>9.3987499999999997</v>
      </c>
      <c r="EE62" s="321">
        <v>14.57</v>
      </c>
      <c r="EF62" s="187">
        <f t="shared" si="253"/>
        <v>165.77387500000003</v>
      </c>
      <c r="EG62" s="187">
        <f t="shared" si="253"/>
        <v>8.7600000000000016</v>
      </c>
      <c r="EH62" s="321">
        <f>+EF62/EG62</f>
        <v>18.923958333333335</v>
      </c>
      <c r="EI62" s="322">
        <f>+EJ62*EK62</f>
        <v>523.41</v>
      </c>
      <c r="EJ62" s="322">
        <f>+(88+12)*0.365</f>
        <v>36.5</v>
      </c>
      <c r="EK62" s="323">
        <v>14.34</v>
      </c>
      <c r="EL62" s="345">
        <v>43.2</v>
      </c>
      <c r="EM62" s="345">
        <v>2.52</v>
      </c>
      <c r="EN62" s="345">
        <v>5.04</v>
      </c>
      <c r="EO62" s="332">
        <v>1.99</v>
      </c>
      <c r="EP62" s="332">
        <v>2.15</v>
      </c>
      <c r="EQ62" s="332">
        <v>2.88</v>
      </c>
      <c r="ER62" s="332">
        <v>3.04</v>
      </c>
      <c r="ES62" s="332">
        <v>4.0199999999999996</v>
      </c>
      <c r="ET62" s="332">
        <v>5</v>
      </c>
      <c r="EU62" s="332">
        <v>5.04</v>
      </c>
      <c r="EV62" s="332">
        <v>6.05</v>
      </c>
      <c r="EW62" s="332">
        <v>33.35</v>
      </c>
      <c r="EX62" s="332">
        <v>45.46</v>
      </c>
      <c r="EY62" s="332">
        <v>44.85</v>
      </c>
      <c r="EZ62" s="332">
        <v>49.14</v>
      </c>
    </row>
    <row r="63" spans="1:156" s="225" customFormat="1" ht="26.25" customHeight="1" x14ac:dyDescent="0.3">
      <c r="A63" s="43" t="s">
        <v>312</v>
      </c>
      <c r="B63" s="43" t="s">
        <v>313</v>
      </c>
      <c r="C63" s="1">
        <v>2007</v>
      </c>
      <c r="D63" s="52">
        <v>17.151</v>
      </c>
      <c r="E63" s="52">
        <v>9.1470000000000002</v>
      </c>
      <c r="F63" s="52">
        <v>0</v>
      </c>
      <c r="G63" s="25">
        <f t="shared" ref="G63:G72" si="255">D63/6+E63+F63</f>
        <v>12.0055</v>
      </c>
      <c r="H63" s="25">
        <f t="shared" ref="H63:H72" si="256">D63+E63*6+F63*6</f>
        <v>72.033000000000001</v>
      </c>
      <c r="I63" s="52">
        <v>0</v>
      </c>
      <c r="J63" s="52">
        <v>0</v>
      </c>
      <c r="K63" s="25">
        <v>0</v>
      </c>
      <c r="L63" s="25">
        <f t="shared" ref="L63:L70" si="257">I63/6+J63+K63</f>
        <v>0</v>
      </c>
      <c r="M63" s="25">
        <f t="shared" ref="M63:M70" si="258">I63+J63*6+K63*6</f>
        <v>0</v>
      </c>
      <c r="N63" s="25">
        <f t="shared" ref="N63:N72" si="259">G63+L63</f>
        <v>12.0055</v>
      </c>
      <c r="O63" s="25">
        <f t="shared" ref="O63:O70" si="260">H63+M63</f>
        <v>72.033000000000001</v>
      </c>
      <c r="P63" s="26">
        <f t="shared" si="254"/>
        <v>1</v>
      </c>
      <c r="Q63" s="26">
        <f t="shared" ref="Q63:Q69" si="261">D63/H63</f>
        <v>0.23809920453125649</v>
      </c>
      <c r="R63" s="26">
        <f t="shared" ref="R63:R72" si="262">E63/G63</f>
        <v>0.76190079546874356</v>
      </c>
      <c r="S63" s="26">
        <f t="shared" ref="S63:S72" si="263">F63/G63</f>
        <v>0</v>
      </c>
      <c r="T63" s="208">
        <v>24.388999999999999</v>
      </c>
      <c r="U63" s="208">
        <v>0</v>
      </c>
      <c r="V63" s="208">
        <v>53.988</v>
      </c>
      <c r="W63" s="25">
        <f t="shared" ref="W63:W70" si="264">+T63*6+U63*6+V63</f>
        <v>200.322</v>
      </c>
      <c r="X63" s="25"/>
      <c r="Y63" s="25">
        <f>+T63+U63+V63/6</f>
        <v>33.387</v>
      </c>
      <c r="Z63" s="25"/>
      <c r="AA63" s="25"/>
      <c r="AB63" s="44"/>
      <c r="AC63" s="45">
        <v>7.4340000000000002</v>
      </c>
      <c r="AD63" s="45">
        <v>64.988</v>
      </c>
      <c r="AE63" s="45">
        <v>6.6000000000000003E-2</v>
      </c>
      <c r="AF63" s="45">
        <v>0</v>
      </c>
      <c r="AG63" s="29">
        <f>SUM(AC63:AF63)</f>
        <v>72.488</v>
      </c>
      <c r="AH63" s="28">
        <v>2.1339999999999999</v>
      </c>
      <c r="AI63" s="28">
        <v>12.744999999999999</v>
      </c>
      <c r="AJ63" s="28">
        <v>5.5E-2</v>
      </c>
      <c r="AK63" s="45">
        <v>0</v>
      </c>
      <c r="AL63" s="29">
        <f t="shared" si="216"/>
        <v>14.933999999999999</v>
      </c>
      <c r="AM63" s="45">
        <v>0</v>
      </c>
      <c r="AN63" s="45">
        <v>0</v>
      </c>
      <c r="AO63" s="45">
        <v>0</v>
      </c>
      <c r="AP63" s="45">
        <v>0</v>
      </c>
      <c r="AQ63" s="29">
        <f t="shared" ref="AQ63:AQ69" si="265">SUM(AM63:AP63)</f>
        <v>0</v>
      </c>
      <c r="AR63" s="29">
        <f t="shared" ref="AR63:AR70" si="266">(AG63)+(AL63*6)+AQ63*6</f>
        <v>162.09199999999998</v>
      </c>
      <c r="AS63" s="29">
        <f t="shared" ref="AS63:AS70" si="267">AG63/6+AL63+AQ63</f>
        <v>27.015333333333331</v>
      </c>
      <c r="AT63" s="30">
        <v>21.728999999999999</v>
      </c>
      <c r="AU63" s="30">
        <v>4.1660000000000004</v>
      </c>
      <c r="AV63" s="30">
        <f>181.883-0.236</f>
        <v>181.64700000000002</v>
      </c>
      <c r="AW63" s="30">
        <f>316.741-0.401</f>
        <v>316.33999999999997</v>
      </c>
      <c r="AX63" s="31">
        <f t="shared" ref="AX63:AX71" si="268">SUM(AT63:AW63)</f>
        <v>523.88200000000006</v>
      </c>
      <c r="AY63" s="25"/>
      <c r="AZ63" s="25"/>
      <c r="BA63" s="25"/>
      <c r="BB63" s="31"/>
      <c r="BC63" s="31"/>
      <c r="BD63" s="44"/>
      <c r="BE63" s="32"/>
      <c r="BF63" s="48"/>
      <c r="BG63" s="48"/>
      <c r="BH63" s="47"/>
      <c r="BI63" s="48"/>
      <c r="BJ63" s="48"/>
      <c r="BK63" s="47"/>
      <c r="BL63" s="48"/>
      <c r="BM63" s="48"/>
      <c r="BN63" s="47"/>
      <c r="BO63" s="48"/>
      <c r="BP63" s="48"/>
      <c r="BQ63" s="47"/>
      <c r="BR63" s="34">
        <v>0</v>
      </c>
      <c r="BS63" s="34">
        <v>0</v>
      </c>
      <c r="BT63" s="34"/>
      <c r="BU63" s="49"/>
      <c r="BV63" s="50"/>
      <c r="BW63" s="50"/>
      <c r="BX63" s="44"/>
      <c r="BY63" s="91"/>
      <c r="BZ63" s="56"/>
      <c r="CA63" s="141"/>
      <c r="CB63" s="56"/>
      <c r="CC63" s="56"/>
      <c r="CD63" s="56"/>
      <c r="CE63" s="56"/>
      <c r="CF63" s="56"/>
      <c r="CG63" s="56"/>
      <c r="CH63" s="56"/>
      <c r="CI63" s="56"/>
      <c r="CJ63" s="56"/>
      <c r="CK63" s="56"/>
      <c r="CL63" s="51"/>
      <c r="CM63" s="56"/>
      <c r="CN63" s="56"/>
      <c r="CO63" s="173"/>
      <c r="CP63" s="174"/>
      <c r="CQ63" s="328"/>
      <c r="CR63" s="82"/>
      <c r="CS63" s="293"/>
      <c r="CT63" s="227"/>
      <c r="CU63" s="227"/>
      <c r="CV63" s="227"/>
      <c r="CW63" s="227"/>
      <c r="CX63" s="227"/>
      <c r="CY63" s="227"/>
      <c r="CZ63" s="227"/>
      <c r="DA63" s="227"/>
      <c r="DB63" s="227"/>
      <c r="DC63" s="227"/>
      <c r="DD63" s="227"/>
      <c r="DE63" s="275"/>
      <c r="DF63" s="275"/>
      <c r="DG63" s="275"/>
      <c r="DH63" s="226"/>
      <c r="DI63" s="226"/>
      <c r="DJ63" s="226"/>
      <c r="DK63" s="226"/>
      <c r="DL63" s="226"/>
      <c r="DM63" s="226"/>
      <c r="DN63" s="226"/>
      <c r="DO63" s="226"/>
      <c r="DP63" s="226"/>
      <c r="DQ63" s="226"/>
      <c r="DR63" s="226"/>
      <c r="DS63" s="226"/>
      <c r="DT63" s="278"/>
      <c r="DU63" s="278"/>
      <c r="DV63" s="278"/>
      <c r="DW63" s="280"/>
      <c r="DX63" s="280"/>
      <c r="DY63" s="280"/>
      <c r="DZ63" s="280"/>
      <c r="EA63" s="280"/>
      <c r="EB63" s="280"/>
      <c r="EC63" s="280"/>
      <c r="ED63" s="280"/>
      <c r="EE63" s="280"/>
      <c r="EF63" s="280"/>
      <c r="EG63" s="280"/>
      <c r="EH63" s="280"/>
      <c r="EI63" s="283"/>
      <c r="EJ63" s="283"/>
      <c r="EK63" s="294"/>
      <c r="EL63" s="343">
        <v>72.34</v>
      </c>
      <c r="EM63" s="343">
        <v>6.97</v>
      </c>
      <c r="EN63" s="343">
        <v>12.91</v>
      </c>
      <c r="EO63" s="116"/>
      <c r="EP63" s="116"/>
      <c r="EQ63" s="116"/>
      <c r="ER63" s="116"/>
      <c r="ES63" s="116"/>
      <c r="ET63" s="116"/>
      <c r="EU63" s="116"/>
      <c r="EV63" s="116"/>
      <c r="EW63" s="116"/>
      <c r="EX63" s="116"/>
      <c r="EY63" s="116"/>
      <c r="EZ63" s="116"/>
    </row>
    <row r="64" spans="1:156" s="225" customFormat="1" ht="26.25" customHeight="1" x14ac:dyDescent="0.3">
      <c r="A64" s="43" t="s">
        <v>312</v>
      </c>
      <c r="B64" s="43" t="s">
        <v>313</v>
      </c>
      <c r="C64" s="1">
        <v>2008</v>
      </c>
      <c r="D64" s="52">
        <v>21.606000000000002</v>
      </c>
      <c r="E64" s="52">
        <v>10.022</v>
      </c>
      <c r="F64" s="52">
        <v>0</v>
      </c>
      <c r="G64" s="25">
        <f t="shared" si="255"/>
        <v>13.623000000000001</v>
      </c>
      <c r="H64" s="25">
        <f t="shared" si="256"/>
        <v>81.738</v>
      </c>
      <c r="I64" s="52">
        <v>0</v>
      </c>
      <c r="J64" s="52">
        <v>0</v>
      </c>
      <c r="K64" s="25">
        <v>0</v>
      </c>
      <c r="L64" s="25">
        <f t="shared" si="257"/>
        <v>0</v>
      </c>
      <c r="M64" s="25">
        <f t="shared" si="258"/>
        <v>0</v>
      </c>
      <c r="N64" s="25">
        <f t="shared" si="259"/>
        <v>13.623000000000001</v>
      </c>
      <c r="O64" s="25">
        <f t="shared" si="260"/>
        <v>81.738</v>
      </c>
      <c r="P64" s="26">
        <f t="shared" si="254"/>
        <v>1</v>
      </c>
      <c r="Q64" s="26">
        <f t="shared" si="261"/>
        <v>0.26433237906481688</v>
      </c>
      <c r="R64" s="26">
        <f t="shared" si="262"/>
        <v>0.73566762093518312</v>
      </c>
      <c r="S64" s="26">
        <f t="shared" si="263"/>
        <v>0</v>
      </c>
      <c r="T64" s="208">
        <v>25.852</v>
      </c>
      <c r="U64" s="208">
        <v>0</v>
      </c>
      <c r="V64" s="208">
        <v>164.602</v>
      </c>
      <c r="W64" s="25">
        <f t="shared" si="264"/>
        <v>319.714</v>
      </c>
      <c r="X64" s="25">
        <f t="shared" ref="X64:X72" si="269">W64-W63</f>
        <v>119.392</v>
      </c>
      <c r="Y64" s="25">
        <f t="shared" ref="Y64:Y72" si="270">+T64+U64+V64/6</f>
        <v>53.285666666666671</v>
      </c>
      <c r="Z64" s="25">
        <f>Y64-Y63</f>
        <v>19.898666666666671</v>
      </c>
      <c r="AA64" s="204">
        <f>+Z64/Y63</f>
        <v>0.59600043929273883</v>
      </c>
      <c r="AB64" s="44"/>
      <c r="AC64" s="45">
        <v>-16.178999999999998</v>
      </c>
      <c r="AD64" s="45">
        <v>167.28800000000001</v>
      </c>
      <c r="AE64" s="45">
        <v>1.361</v>
      </c>
      <c r="AF64" s="45">
        <v>0</v>
      </c>
      <c r="AG64" s="29">
        <f t="shared" ref="AG64:AG69" si="271">SUM(AC64:AF64)</f>
        <v>152.47</v>
      </c>
      <c r="AH64" s="28">
        <v>-10.526999999999999</v>
      </c>
      <c r="AI64" s="28">
        <v>19.765000000000001</v>
      </c>
      <c r="AJ64" s="28">
        <v>2.0030000000000001</v>
      </c>
      <c r="AK64" s="45">
        <v>0</v>
      </c>
      <c r="AL64" s="29">
        <f t="shared" ref="AL64:AL69" si="272">SUM(AH64:AK64)</f>
        <v>11.241000000000001</v>
      </c>
      <c r="AM64" s="45">
        <v>0</v>
      </c>
      <c r="AN64" s="45">
        <v>0</v>
      </c>
      <c r="AO64" s="45">
        <v>0</v>
      </c>
      <c r="AP64" s="45">
        <v>0</v>
      </c>
      <c r="AQ64" s="29">
        <f t="shared" si="265"/>
        <v>0</v>
      </c>
      <c r="AR64" s="29">
        <f t="shared" si="266"/>
        <v>219.916</v>
      </c>
      <c r="AS64" s="29">
        <f t="shared" si="267"/>
        <v>36.652666666666669</v>
      </c>
      <c r="AT64" s="30">
        <v>199.62100000000001</v>
      </c>
      <c r="AU64" s="30">
        <v>74.662999999999997</v>
      </c>
      <c r="AV64" s="30">
        <f>235.263-0.687</f>
        <v>234.57599999999999</v>
      </c>
      <c r="AW64" s="30">
        <f>471.82-3.252</f>
        <v>468.56799999999998</v>
      </c>
      <c r="AX64" s="31">
        <f t="shared" si="268"/>
        <v>977.428</v>
      </c>
      <c r="AY64" s="25"/>
      <c r="AZ64" s="25"/>
      <c r="BA64" s="25"/>
      <c r="BC64" s="31"/>
      <c r="BD64" s="44"/>
      <c r="BE64" s="32"/>
      <c r="BF64" s="48"/>
      <c r="BG64" s="48"/>
      <c r="BH64" s="47"/>
      <c r="BI64" s="48"/>
      <c r="BJ64" s="48"/>
      <c r="BK64" s="47"/>
      <c r="BL64" s="48"/>
      <c r="BM64" s="48"/>
      <c r="BN64" s="47"/>
      <c r="BO64" s="48"/>
      <c r="BP64" s="48"/>
      <c r="BQ64" s="47"/>
      <c r="BR64" s="57">
        <v>0</v>
      </c>
      <c r="BS64" s="57">
        <v>0</v>
      </c>
      <c r="BT64" s="57"/>
      <c r="BU64" s="49"/>
      <c r="BV64" s="50"/>
      <c r="BW64" s="50"/>
      <c r="BX64" s="44"/>
      <c r="BY64" s="91"/>
      <c r="BZ64" s="56"/>
      <c r="CA64" s="141"/>
      <c r="CB64" s="56"/>
      <c r="CC64" s="56"/>
      <c r="CD64" s="56"/>
      <c r="CE64" s="56"/>
      <c r="CF64" s="56"/>
      <c r="CG64" s="56"/>
      <c r="CH64" s="56"/>
      <c r="CI64" s="56"/>
      <c r="CJ64" s="56"/>
      <c r="CK64" s="56"/>
      <c r="CL64" s="51"/>
      <c r="CM64" s="56"/>
      <c r="CN64" s="56"/>
      <c r="CO64" s="173"/>
      <c r="CP64" s="174"/>
      <c r="CQ64" s="328"/>
      <c r="CR64" s="82"/>
      <c r="CS64" s="271"/>
      <c r="CT64" s="133"/>
      <c r="CU64" s="133"/>
      <c r="CV64" s="133"/>
      <c r="CW64" s="133"/>
      <c r="CX64" s="133"/>
      <c r="CY64" s="133"/>
      <c r="CZ64" s="133"/>
      <c r="DA64" s="133"/>
      <c r="DB64" s="133"/>
      <c r="DC64" s="133"/>
      <c r="DD64" s="133"/>
      <c r="DE64" s="273"/>
      <c r="DF64" s="273"/>
      <c r="DG64" s="273"/>
      <c r="DH64" s="132"/>
      <c r="DI64" s="132"/>
      <c r="DJ64" s="132"/>
      <c r="DK64" s="132"/>
      <c r="DL64" s="132"/>
      <c r="DM64" s="132"/>
      <c r="DN64" s="132"/>
      <c r="DO64" s="132"/>
      <c r="DP64" s="132"/>
      <c r="DQ64" s="132"/>
      <c r="DR64" s="132"/>
      <c r="DS64" s="132"/>
      <c r="DT64" s="276"/>
      <c r="DU64" s="276"/>
      <c r="DV64" s="276"/>
      <c r="DW64" s="279"/>
      <c r="DX64" s="279"/>
      <c r="DY64" s="279"/>
      <c r="DZ64" s="279"/>
      <c r="EA64" s="279"/>
      <c r="EB64" s="279"/>
      <c r="EC64" s="279"/>
      <c r="ED64" s="279"/>
      <c r="EE64" s="279"/>
      <c r="EF64" s="279"/>
      <c r="EG64" s="279"/>
      <c r="EH64" s="279"/>
      <c r="EI64" s="281"/>
      <c r="EJ64" s="281"/>
      <c r="EK64" s="295"/>
      <c r="EL64" s="343">
        <v>99.67</v>
      </c>
      <c r="EM64" s="343">
        <v>8.86</v>
      </c>
      <c r="EN64" s="343">
        <v>15.2</v>
      </c>
      <c r="EO64" s="116"/>
      <c r="EP64" s="116"/>
      <c r="EQ64" s="116"/>
      <c r="ER64" s="116"/>
      <c r="ES64" s="116"/>
      <c r="ET64" s="116"/>
      <c r="EU64" s="116"/>
      <c r="EV64" s="116"/>
      <c r="EW64" s="116"/>
      <c r="EX64" s="116"/>
      <c r="EY64" s="116"/>
      <c r="EZ64" s="116"/>
    </row>
    <row r="65" spans="1:156" s="225" customFormat="1" ht="26.25" customHeight="1" x14ac:dyDescent="0.3">
      <c r="A65" s="43" t="s">
        <v>312</v>
      </c>
      <c r="B65" s="43" t="s">
        <v>313</v>
      </c>
      <c r="C65" s="1">
        <v>2009</v>
      </c>
      <c r="D65" s="52">
        <v>21.606000000000002</v>
      </c>
      <c r="E65" s="52">
        <v>10.022</v>
      </c>
      <c r="F65" s="52">
        <v>0</v>
      </c>
      <c r="G65" s="25">
        <f t="shared" si="255"/>
        <v>13.623000000000001</v>
      </c>
      <c r="H65" s="25">
        <f t="shared" si="256"/>
        <v>81.738</v>
      </c>
      <c r="I65" s="52">
        <v>0</v>
      </c>
      <c r="J65" s="52">
        <v>0</v>
      </c>
      <c r="K65" s="25">
        <v>0</v>
      </c>
      <c r="L65" s="25">
        <f t="shared" si="257"/>
        <v>0</v>
      </c>
      <c r="M65" s="25">
        <f t="shared" si="258"/>
        <v>0</v>
      </c>
      <c r="N65" s="25">
        <f t="shared" si="259"/>
        <v>13.623000000000001</v>
      </c>
      <c r="O65" s="25">
        <f t="shared" si="260"/>
        <v>81.738</v>
      </c>
      <c r="P65" s="26">
        <f t="shared" si="254"/>
        <v>1</v>
      </c>
      <c r="Q65" s="26">
        <f t="shared" si="261"/>
        <v>0.26433237906481688</v>
      </c>
      <c r="R65" s="26">
        <f t="shared" si="262"/>
        <v>0.73566762093518312</v>
      </c>
      <c r="S65" s="26">
        <f t="shared" si="263"/>
        <v>0</v>
      </c>
      <c r="T65" s="208">
        <v>88.01</v>
      </c>
      <c r="U65" s="208">
        <v>0</v>
      </c>
      <c r="V65" s="208">
        <v>334.298</v>
      </c>
      <c r="W65" s="25">
        <f t="shared" si="264"/>
        <v>862.35800000000006</v>
      </c>
      <c r="X65" s="25">
        <f t="shared" si="269"/>
        <v>542.64400000000001</v>
      </c>
      <c r="Y65" s="25">
        <f t="shared" si="270"/>
        <v>143.72633333333334</v>
      </c>
      <c r="Z65" s="25">
        <f t="shared" ref="Z65:Z71" si="273">Y65-Y64</f>
        <v>90.440666666666672</v>
      </c>
      <c r="AA65" s="204">
        <f>+Z65/Y64</f>
        <v>1.6972794435026304</v>
      </c>
      <c r="AB65" s="44"/>
      <c r="AC65" s="45">
        <v>-2.4849999999999999</v>
      </c>
      <c r="AD65" s="45">
        <v>210.029</v>
      </c>
      <c r="AE65" s="45">
        <v>4.0000000000000001E-3</v>
      </c>
      <c r="AF65" s="45">
        <v>0</v>
      </c>
      <c r="AG65" s="29">
        <f t="shared" si="271"/>
        <v>207.54799999999997</v>
      </c>
      <c r="AH65" s="28">
        <v>1.609</v>
      </c>
      <c r="AI65" s="28">
        <v>75.45</v>
      </c>
      <c r="AJ65" s="28">
        <v>4.0000000000000001E-3</v>
      </c>
      <c r="AK65" s="45">
        <v>0</v>
      </c>
      <c r="AL65" s="29">
        <f t="shared" si="272"/>
        <v>77.063000000000002</v>
      </c>
      <c r="AM65" s="45">
        <v>0</v>
      </c>
      <c r="AN65" s="45">
        <v>0</v>
      </c>
      <c r="AO65" s="45">
        <v>0</v>
      </c>
      <c r="AP65" s="45">
        <v>0</v>
      </c>
      <c r="AQ65" s="29">
        <f t="shared" si="265"/>
        <v>0</v>
      </c>
      <c r="AR65" s="29">
        <f t="shared" si="266"/>
        <v>669.92600000000004</v>
      </c>
      <c r="AS65" s="29">
        <f t="shared" si="267"/>
        <v>111.65433333333334</v>
      </c>
      <c r="AT65" s="30">
        <v>73.272999999999996</v>
      </c>
      <c r="AU65" s="30">
        <v>1.2170000000000001</v>
      </c>
      <c r="AV65" s="30">
        <f>98.44-0.368</f>
        <v>98.072000000000003</v>
      </c>
      <c r="AW65" s="30">
        <f>260.407-0.859</f>
        <v>259.548</v>
      </c>
      <c r="AX65" s="31">
        <f t="shared" si="268"/>
        <v>432.11</v>
      </c>
      <c r="AY65" s="25">
        <f t="shared" ref="AY65:AY70" si="274">SUM(AX63:AX65)</f>
        <v>1933.42</v>
      </c>
      <c r="AZ65" s="25">
        <f t="shared" ref="AZ65:AZ71" si="275">SUM(AS63:AS65)</f>
        <v>175.32233333333335</v>
      </c>
      <c r="BA65" s="25">
        <f t="shared" ref="BA65:BA71" si="276">SUM(AR63:AR65)</f>
        <v>1051.934</v>
      </c>
      <c r="BB65" s="31">
        <f t="shared" ref="BB65:BB70" si="277">AY65/AZ65</f>
        <v>11.027802124467884</v>
      </c>
      <c r="BC65" s="31">
        <f t="shared" ref="BC65:BC70" si="278">AY65/BA65</f>
        <v>1.8379670207446477</v>
      </c>
      <c r="BD65" s="44"/>
      <c r="BE65" s="32">
        <v>93.242000000000004</v>
      </c>
      <c r="BF65" s="48">
        <v>41.094000000000001</v>
      </c>
      <c r="BG65" s="48"/>
      <c r="BH65" s="32">
        <f>IF(BG65=0,BF65*$BT65,BG65)</f>
        <v>39.978945777729635</v>
      </c>
      <c r="BI65" s="48">
        <v>0.14599999999999999</v>
      </c>
      <c r="BJ65" s="48"/>
      <c r="BK65" s="32">
        <f>IF(BJ65=0,BI65*$BT65,BJ65)</f>
        <v>0.14203840179949689</v>
      </c>
      <c r="BL65" s="48"/>
      <c r="BM65" s="48">
        <v>45.645000000000003</v>
      </c>
      <c r="BN65" s="32">
        <f>IF(BM65=0,BL65*$BT65,BM65)</f>
        <v>45.645000000000003</v>
      </c>
      <c r="BO65" s="48">
        <v>20.544609999999999</v>
      </c>
      <c r="BP65" s="48"/>
      <c r="BQ65" s="32">
        <f>IF(BP65=0,BO65*$BT65,BP65)</f>
        <v>19.987147739684673</v>
      </c>
      <c r="BR65" s="48">
        <v>610.69799999999998</v>
      </c>
      <c r="BS65" s="48">
        <v>627.73099999999999</v>
      </c>
      <c r="BT65" s="201">
        <f t="shared" ref="BT65:BT71" si="279">+P65*BR65/BS65</f>
        <v>0.97286576574997885</v>
      </c>
      <c r="BU65" s="35">
        <f t="shared" ref="BU65:BU71" si="280">BQ65+BN65+BK65+BH65+BE65</f>
        <v>198.9951319192138</v>
      </c>
      <c r="BV65" s="31">
        <f t="shared" ref="BV65:BV71" si="281">BU65/G65</f>
        <v>14.607291486399015</v>
      </c>
      <c r="BW65" s="31">
        <f t="shared" ref="BW65:BW71" si="282">BU65/H65</f>
        <v>2.4345485810665028</v>
      </c>
      <c r="BX65" s="44"/>
      <c r="BY65" s="90">
        <f t="shared" ref="BY65:BY71" si="283">BU65+AX65</f>
        <v>631.10513191921382</v>
      </c>
      <c r="BZ65" s="38">
        <f t="shared" ref="BZ65:BZ70" si="284">(BY65*0.1)</f>
        <v>63.110513191921385</v>
      </c>
      <c r="CA65" s="140">
        <f t="shared" ref="CA65:CA71" si="285">+BZ65/AX65</f>
        <v>0.14605196175029828</v>
      </c>
      <c r="CB65" s="38">
        <f t="shared" ref="CB65:CB71" si="286">BZ65/G65</f>
        <v>4.6326442921472051</v>
      </c>
      <c r="CC65" s="38">
        <f t="shared" ref="CC65:CC71" si="287">BZ65/H65</f>
        <v>0.77210738202453433</v>
      </c>
      <c r="CD65" s="38">
        <f t="shared" ref="CD65:CD71" si="288">+$AX65/G65</f>
        <v>31.719151435073037</v>
      </c>
      <c r="CE65" s="38">
        <f t="shared" ref="CE65:CE71" si="289">+$AX65/H65</f>
        <v>5.2865252391788395</v>
      </c>
      <c r="CF65" s="38">
        <f t="shared" ref="CF65:CF71" si="290">BB65+BV65</f>
        <v>25.6350936108669</v>
      </c>
      <c r="CG65" s="38">
        <f t="shared" ref="CG65:CG70" si="291">CB65+CF65</f>
        <v>30.267737903014105</v>
      </c>
      <c r="CH65" s="38">
        <f t="shared" ref="CH65:CH70" si="292">CF65+CD65</f>
        <v>57.354245045939933</v>
      </c>
      <c r="CI65" s="38">
        <f t="shared" ref="CI65:CI71" si="293">+BC65+BW65</f>
        <v>4.2725156018111505</v>
      </c>
      <c r="CJ65" s="38">
        <f t="shared" ref="CJ65:CJ70" si="294">+CI65+CC65</f>
        <v>5.0446229838356853</v>
      </c>
      <c r="CK65" s="38">
        <f t="shared" ref="CK65:CK70" si="295">+CI65+CE65</f>
        <v>9.5590408409899901</v>
      </c>
      <c r="CL65" s="37">
        <v>4</v>
      </c>
      <c r="CM65" s="38">
        <f t="shared" ref="CM65:CM71" si="296">+CF65/10</f>
        <v>2.5635093610866901</v>
      </c>
      <c r="CN65" s="38">
        <f t="shared" ref="CN65:CN71" si="297">+CM65*G65</f>
        <v>34.922688026083982</v>
      </c>
      <c r="CO65" s="145">
        <f t="shared" ref="CO65:CO71" si="298">+CN65/AX65</f>
        <v>8.0818976709828474E-2</v>
      </c>
      <c r="CP65" s="328">
        <v>22.9</v>
      </c>
      <c r="CQ65" s="328"/>
      <c r="CR65" s="82"/>
      <c r="CS65" s="271"/>
      <c r="CT65" s="133"/>
      <c r="CU65" s="133"/>
      <c r="CV65" s="133"/>
      <c r="CW65" s="133"/>
      <c r="CX65" s="133"/>
      <c r="CY65" s="133"/>
      <c r="CZ65" s="133"/>
      <c r="DA65" s="133"/>
      <c r="DB65" s="133"/>
      <c r="DC65" s="133"/>
      <c r="DD65" s="133"/>
      <c r="DE65" s="273"/>
      <c r="DF65" s="273"/>
      <c r="DG65" s="273"/>
      <c r="DH65" s="132"/>
      <c r="DI65" s="132"/>
      <c r="DJ65" s="132"/>
      <c r="DK65" s="132"/>
      <c r="DL65" s="132"/>
      <c r="DM65" s="132"/>
      <c r="DN65" s="132"/>
      <c r="DO65" s="132"/>
      <c r="DP65" s="132"/>
      <c r="DQ65" s="132"/>
      <c r="DR65" s="132"/>
      <c r="DS65" s="132"/>
      <c r="DT65" s="276"/>
      <c r="DU65" s="276"/>
      <c r="DV65" s="276"/>
      <c r="DW65" s="279"/>
      <c r="DX65" s="279"/>
      <c r="DY65" s="279"/>
      <c r="DZ65" s="279"/>
      <c r="EA65" s="279"/>
      <c r="EB65" s="279"/>
      <c r="EC65" s="279"/>
      <c r="ED65" s="279"/>
      <c r="EE65" s="279"/>
      <c r="EF65" s="279"/>
      <c r="EG65" s="279"/>
      <c r="EH65" s="279"/>
      <c r="EI65" s="281"/>
      <c r="EJ65" s="281"/>
      <c r="EK65" s="295"/>
      <c r="EL65" s="343">
        <v>61.95</v>
      </c>
      <c r="EM65" s="343">
        <v>3.94</v>
      </c>
      <c r="EN65" s="343">
        <v>8.99</v>
      </c>
      <c r="EO65" s="116"/>
      <c r="EP65" s="116"/>
      <c r="EQ65" s="116"/>
      <c r="ER65" s="116"/>
      <c r="ES65" s="116"/>
      <c r="ET65" s="116"/>
      <c r="EU65" s="116"/>
      <c r="EV65" s="116"/>
      <c r="EW65" s="116"/>
      <c r="EX65" s="116"/>
      <c r="EY65" s="116"/>
      <c r="EZ65" s="116"/>
    </row>
    <row r="66" spans="1:156" s="225" customFormat="1" ht="26.25" customHeight="1" x14ac:dyDescent="0.3">
      <c r="A66" s="43" t="s">
        <v>312</v>
      </c>
      <c r="B66" s="43" t="s">
        <v>313</v>
      </c>
      <c r="C66" s="1">
        <v>2010</v>
      </c>
      <c r="D66" s="52">
        <v>23.943000000000001</v>
      </c>
      <c r="E66" s="52">
        <v>11.82</v>
      </c>
      <c r="F66" s="52">
        <v>0</v>
      </c>
      <c r="G66" s="25">
        <f t="shared" si="255"/>
        <v>15.810500000000001</v>
      </c>
      <c r="H66" s="25">
        <f t="shared" si="256"/>
        <v>94.863</v>
      </c>
      <c r="I66" s="52">
        <v>0</v>
      </c>
      <c r="J66" s="52">
        <v>0</v>
      </c>
      <c r="K66" s="25">
        <v>0</v>
      </c>
      <c r="L66" s="25">
        <f t="shared" si="257"/>
        <v>0</v>
      </c>
      <c r="M66" s="25">
        <f t="shared" si="258"/>
        <v>0</v>
      </c>
      <c r="N66" s="25">
        <f t="shared" si="259"/>
        <v>15.810500000000001</v>
      </c>
      <c r="O66" s="25">
        <f t="shared" si="260"/>
        <v>94.863</v>
      </c>
      <c r="P66" s="26">
        <f t="shared" si="254"/>
        <v>1</v>
      </c>
      <c r="Q66" s="26">
        <f t="shared" si="261"/>
        <v>0.25239555991271623</v>
      </c>
      <c r="R66" s="26">
        <f t="shared" si="262"/>
        <v>0.74760444008728377</v>
      </c>
      <c r="S66" s="26">
        <f t="shared" si="263"/>
        <v>0</v>
      </c>
      <c r="T66" s="208">
        <v>123.512</v>
      </c>
      <c r="U66" s="208">
        <v>0</v>
      </c>
      <c r="V66" s="208">
        <v>604.86900000000003</v>
      </c>
      <c r="W66" s="25">
        <f t="shared" si="264"/>
        <v>1345.941</v>
      </c>
      <c r="X66" s="25">
        <f t="shared" si="269"/>
        <v>483.58299999999997</v>
      </c>
      <c r="Y66" s="25">
        <f t="shared" si="270"/>
        <v>224.32350000000002</v>
      </c>
      <c r="Z66" s="25">
        <f t="shared" si="273"/>
        <v>80.597166666666681</v>
      </c>
      <c r="AA66" s="204">
        <f t="shared" ref="AA66:AA71" si="299">+Z66/Y65</f>
        <v>0.56076826561590432</v>
      </c>
      <c r="AB66" s="44"/>
      <c r="AC66" s="45">
        <v>79.284999999999997</v>
      </c>
      <c r="AD66" s="45">
        <v>280.14600000000002</v>
      </c>
      <c r="AE66" s="45">
        <v>0</v>
      </c>
      <c r="AF66" s="45">
        <v>0</v>
      </c>
      <c r="AG66" s="29">
        <f t="shared" si="271"/>
        <v>359.43100000000004</v>
      </c>
      <c r="AH66" s="28">
        <v>14.414</v>
      </c>
      <c r="AI66" s="28">
        <v>48.542000000000002</v>
      </c>
      <c r="AJ66" s="28">
        <v>0.36799999999999999</v>
      </c>
      <c r="AK66" s="45">
        <v>0</v>
      </c>
      <c r="AL66" s="29">
        <f t="shared" si="272"/>
        <v>63.324000000000005</v>
      </c>
      <c r="AM66" s="45">
        <v>0</v>
      </c>
      <c r="AN66" s="45">
        <v>0</v>
      </c>
      <c r="AO66" s="45">
        <v>0</v>
      </c>
      <c r="AP66" s="45">
        <v>0</v>
      </c>
      <c r="AQ66" s="29">
        <f t="shared" si="265"/>
        <v>0</v>
      </c>
      <c r="AR66" s="29">
        <f t="shared" si="266"/>
        <v>739.375</v>
      </c>
      <c r="AS66" s="29">
        <f t="shared" si="267"/>
        <v>123.22916666666669</v>
      </c>
      <c r="AT66" s="30">
        <v>340.06400000000002</v>
      </c>
      <c r="AU66" s="30">
        <v>7.3380000000000001</v>
      </c>
      <c r="AV66" s="30">
        <f>289.175-0.6</f>
        <v>288.57499999999999</v>
      </c>
      <c r="AW66" s="30">
        <f>565.551-4.7</f>
        <v>560.851</v>
      </c>
      <c r="AX66" s="31">
        <f t="shared" si="268"/>
        <v>1196.828</v>
      </c>
      <c r="AY66" s="25">
        <f t="shared" si="274"/>
        <v>2606.366</v>
      </c>
      <c r="AZ66" s="25">
        <f t="shared" si="275"/>
        <v>271.5361666666667</v>
      </c>
      <c r="BA66" s="25">
        <f t="shared" si="276"/>
        <v>1629.2170000000001</v>
      </c>
      <c r="BB66" s="31">
        <f t="shared" si="277"/>
        <v>9.5985961354442022</v>
      </c>
      <c r="BC66" s="31">
        <f t="shared" si="278"/>
        <v>1.599766022574034</v>
      </c>
      <c r="BD66" s="44"/>
      <c r="BE66" s="32">
        <v>93.203000000000003</v>
      </c>
      <c r="BF66" s="48">
        <v>49.09</v>
      </c>
      <c r="BG66" s="48"/>
      <c r="BH66" s="32">
        <f t="shared" ref="BH66:BH71" si="300">IF(BG66=0,BF66*$BT66,BG66)</f>
        <v>48.011700189827678</v>
      </c>
      <c r="BI66" s="48">
        <v>10.879</v>
      </c>
      <c r="BJ66" s="48"/>
      <c r="BK66" s="32">
        <f t="shared" ref="BK66:BK71" si="301">IF(BJ66=0,BI66*$BT66,BJ66)</f>
        <v>10.640034352518542</v>
      </c>
      <c r="BL66" s="48"/>
      <c r="BM66" s="48">
        <v>76.659000000000006</v>
      </c>
      <c r="BN66" s="32">
        <f t="shared" ref="BN66:BN71" si="302">IF(BM66=0,BL66*$BT66,BM66)</f>
        <v>76.659000000000006</v>
      </c>
      <c r="BO66" s="48">
        <v>70.951176250000003</v>
      </c>
      <c r="BP66" s="48"/>
      <c r="BQ66" s="32">
        <f t="shared" ref="BQ66:BQ71" si="303">IF(BP66=0,BO66*$BT66,BP66)</f>
        <v>69.392678798749685</v>
      </c>
      <c r="BR66" s="48">
        <v>948.524</v>
      </c>
      <c r="BS66" s="48">
        <v>969.827</v>
      </c>
      <c r="BT66" s="201">
        <f t="shared" si="279"/>
        <v>0.9780342267229104</v>
      </c>
      <c r="BU66" s="35">
        <f t="shared" si="280"/>
        <v>297.90641334109591</v>
      </c>
      <c r="BV66" s="31">
        <f t="shared" si="281"/>
        <v>18.842314496132058</v>
      </c>
      <c r="BW66" s="31">
        <f t="shared" si="282"/>
        <v>3.1403857493553433</v>
      </c>
      <c r="BX66" s="44"/>
      <c r="BY66" s="90">
        <f t="shared" si="283"/>
        <v>1494.7344133410959</v>
      </c>
      <c r="BZ66" s="38">
        <f t="shared" si="284"/>
        <v>149.47344133410959</v>
      </c>
      <c r="CA66" s="140">
        <f t="shared" si="285"/>
        <v>0.12489133052878909</v>
      </c>
      <c r="CB66" s="38">
        <f t="shared" si="286"/>
        <v>9.4540616257619678</v>
      </c>
      <c r="CC66" s="38">
        <f t="shared" si="287"/>
        <v>1.5756769376269946</v>
      </c>
      <c r="CD66" s="38">
        <f t="shared" si="288"/>
        <v>75.698301761487613</v>
      </c>
      <c r="CE66" s="38">
        <f t="shared" si="289"/>
        <v>12.616383626914603</v>
      </c>
      <c r="CF66" s="38">
        <f t="shared" si="290"/>
        <v>28.440910631576259</v>
      </c>
      <c r="CG66" s="38">
        <f t="shared" si="291"/>
        <v>37.894972257338225</v>
      </c>
      <c r="CH66" s="38">
        <f t="shared" si="292"/>
        <v>104.13921239306387</v>
      </c>
      <c r="CI66" s="38">
        <f t="shared" si="293"/>
        <v>4.7401517719293773</v>
      </c>
      <c r="CJ66" s="38">
        <f t="shared" si="294"/>
        <v>6.3158287095563717</v>
      </c>
      <c r="CK66" s="38">
        <f t="shared" si="295"/>
        <v>17.356535398843981</v>
      </c>
      <c r="CL66" s="37">
        <v>4</v>
      </c>
      <c r="CM66" s="38">
        <f t="shared" si="296"/>
        <v>2.8440910631576259</v>
      </c>
      <c r="CN66" s="38">
        <f t="shared" si="297"/>
        <v>44.966501754053645</v>
      </c>
      <c r="CO66" s="145">
        <f t="shared" si="298"/>
        <v>3.7571398525146175E-2</v>
      </c>
      <c r="CP66" s="328">
        <v>92.8</v>
      </c>
      <c r="CQ66" s="328"/>
      <c r="CR66" s="82"/>
      <c r="CS66" s="271"/>
      <c r="CT66" s="133"/>
      <c r="CU66" s="133"/>
      <c r="CV66" s="133"/>
      <c r="CW66" s="133"/>
      <c r="CX66" s="133"/>
      <c r="CY66" s="133"/>
      <c r="CZ66" s="133"/>
      <c r="DA66" s="133"/>
      <c r="DB66" s="133"/>
      <c r="DC66" s="133"/>
      <c r="DD66" s="133"/>
      <c r="DE66" s="273"/>
      <c r="DF66" s="273"/>
      <c r="DG66" s="273"/>
      <c r="DH66" s="132"/>
      <c r="DI66" s="132"/>
      <c r="DJ66" s="132"/>
      <c r="DK66" s="132"/>
      <c r="DL66" s="132"/>
      <c r="DM66" s="132"/>
      <c r="DN66" s="132"/>
      <c r="DO66" s="132"/>
      <c r="DP66" s="132"/>
      <c r="DQ66" s="132"/>
      <c r="DR66" s="132"/>
      <c r="DS66" s="132"/>
      <c r="DT66" s="276"/>
      <c r="DU66" s="276"/>
      <c r="DV66" s="276"/>
      <c r="DW66" s="279"/>
      <c r="DX66" s="279"/>
      <c r="DY66" s="279"/>
      <c r="DZ66" s="279"/>
      <c r="EA66" s="279"/>
      <c r="EB66" s="279"/>
      <c r="EC66" s="279"/>
      <c r="ED66" s="279"/>
      <c r="EE66" s="279"/>
      <c r="EF66" s="279"/>
      <c r="EG66" s="279"/>
      <c r="EH66" s="279"/>
      <c r="EI66" s="281"/>
      <c r="EJ66" s="281"/>
      <c r="EK66" s="295"/>
      <c r="EL66" s="343">
        <v>79.48</v>
      </c>
      <c r="EM66" s="343">
        <v>4.37</v>
      </c>
      <c r="EN66" s="343">
        <v>11.83</v>
      </c>
      <c r="EO66" s="116"/>
      <c r="EP66" s="116"/>
      <c r="EQ66" s="116"/>
      <c r="ER66" s="116"/>
      <c r="ES66" s="116"/>
      <c r="ET66" s="116"/>
      <c r="EU66" s="116"/>
      <c r="EV66" s="116"/>
      <c r="EW66" s="116"/>
      <c r="EX66" s="116"/>
      <c r="EY66" s="116"/>
      <c r="EZ66" s="116"/>
    </row>
    <row r="67" spans="1:156" s="225" customFormat="1" ht="26.25" customHeight="1" x14ac:dyDescent="0.3">
      <c r="A67" s="43" t="s">
        <v>312</v>
      </c>
      <c r="B67" s="43" t="s">
        <v>313</v>
      </c>
      <c r="C67" s="1">
        <v>2011</v>
      </c>
      <c r="D67" s="52">
        <v>36.670999999999999</v>
      </c>
      <c r="E67" s="52">
        <v>16.469000000000001</v>
      </c>
      <c r="F67" s="52">
        <v>0</v>
      </c>
      <c r="G67" s="25">
        <f t="shared" si="255"/>
        <v>22.580833333333334</v>
      </c>
      <c r="H67" s="25">
        <f t="shared" si="256"/>
        <v>135.48500000000001</v>
      </c>
      <c r="I67" s="52">
        <v>0</v>
      </c>
      <c r="J67" s="52">
        <v>0</v>
      </c>
      <c r="K67" s="25">
        <v>0</v>
      </c>
      <c r="L67" s="25">
        <f t="shared" si="257"/>
        <v>0</v>
      </c>
      <c r="M67" s="25">
        <f t="shared" si="258"/>
        <v>0</v>
      </c>
      <c r="N67" s="25">
        <f t="shared" si="259"/>
        <v>22.580833333333334</v>
      </c>
      <c r="O67" s="25">
        <f t="shared" si="260"/>
        <v>135.48500000000001</v>
      </c>
      <c r="P67" s="26">
        <f t="shared" si="254"/>
        <v>1</v>
      </c>
      <c r="Q67" s="26">
        <f t="shared" si="261"/>
        <v>0.27066464922316119</v>
      </c>
      <c r="R67" s="26">
        <f t="shared" si="262"/>
        <v>0.72933535077683875</v>
      </c>
      <c r="S67" s="26">
        <f t="shared" si="263"/>
        <v>0</v>
      </c>
      <c r="T67" s="208">
        <v>181.10900000000001</v>
      </c>
      <c r="U67" s="208">
        <v>0</v>
      </c>
      <c r="V67" s="25">
        <v>732.56700000000001</v>
      </c>
      <c r="W67" s="25">
        <f t="shared" si="264"/>
        <v>1819.221</v>
      </c>
      <c r="X67" s="25">
        <f t="shared" si="269"/>
        <v>473.28</v>
      </c>
      <c r="Y67" s="25">
        <f t="shared" si="270"/>
        <v>303.20350000000002</v>
      </c>
      <c r="Z67" s="25">
        <f t="shared" si="273"/>
        <v>78.88</v>
      </c>
      <c r="AA67" s="204">
        <f t="shared" si="299"/>
        <v>0.35163502709256939</v>
      </c>
      <c r="AB67" s="44"/>
      <c r="AC67" s="45">
        <v>-158.21899999999999</v>
      </c>
      <c r="AD67" s="45">
        <v>447.09800000000001</v>
      </c>
      <c r="AE67" s="45">
        <v>2.056</v>
      </c>
      <c r="AF67" s="45">
        <v>0</v>
      </c>
      <c r="AG67" s="29">
        <f t="shared" si="271"/>
        <v>290.935</v>
      </c>
      <c r="AH67" s="28">
        <v>28.606999999999999</v>
      </c>
      <c r="AI67" s="28">
        <v>87.465000000000003</v>
      </c>
      <c r="AJ67" s="28">
        <v>1.746</v>
      </c>
      <c r="AK67" s="45">
        <v>0</v>
      </c>
      <c r="AL67" s="29">
        <f t="shared" si="272"/>
        <v>117.818</v>
      </c>
      <c r="AM67" s="45">
        <v>0</v>
      </c>
      <c r="AN67" s="45">
        <v>0</v>
      </c>
      <c r="AO67" s="45">
        <v>0</v>
      </c>
      <c r="AP67" s="45">
        <v>0</v>
      </c>
      <c r="AQ67" s="29">
        <f t="shared" si="265"/>
        <v>0</v>
      </c>
      <c r="AR67" s="29">
        <f t="shared" si="266"/>
        <v>997.84300000000007</v>
      </c>
      <c r="AS67" s="29">
        <f t="shared" si="267"/>
        <v>166.30716666666666</v>
      </c>
      <c r="AT67" s="30">
        <v>183.24700000000001</v>
      </c>
      <c r="AU67" s="30">
        <v>65.314999999999998</v>
      </c>
      <c r="AV67" s="30">
        <f>734.797-1.7</f>
        <v>733.09699999999998</v>
      </c>
      <c r="AW67" s="30">
        <f>1178.136-3.7</f>
        <v>1174.4359999999999</v>
      </c>
      <c r="AX67" s="31">
        <f t="shared" si="268"/>
        <v>2156.0949999999998</v>
      </c>
      <c r="AY67" s="25">
        <f t="shared" si="274"/>
        <v>3785.0329999999999</v>
      </c>
      <c r="AZ67" s="25">
        <f t="shared" si="275"/>
        <v>401.19066666666669</v>
      </c>
      <c r="BA67" s="25">
        <f t="shared" si="276"/>
        <v>2407.1440000000002</v>
      </c>
      <c r="BB67" s="31">
        <f t="shared" si="277"/>
        <v>9.4344991408906154</v>
      </c>
      <c r="BC67" s="31">
        <f t="shared" si="278"/>
        <v>1.5724165234817691</v>
      </c>
      <c r="BD67" s="44"/>
      <c r="BE67" s="32">
        <v>138.23599999999999</v>
      </c>
      <c r="BF67" s="48">
        <v>72.816999999999993</v>
      </c>
      <c r="BG67" s="48"/>
      <c r="BH67" s="32">
        <f t="shared" si="300"/>
        <v>71.411713107454403</v>
      </c>
      <c r="BI67" s="48">
        <v>16.03</v>
      </c>
      <c r="BJ67" s="48"/>
      <c r="BK67" s="32">
        <f t="shared" si="301"/>
        <v>15.720638877082196</v>
      </c>
      <c r="BL67" s="48"/>
      <c r="BM67" s="48">
        <v>144.81</v>
      </c>
      <c r="BN67" s="32">
        <f t="shared" si="302"/>
        <v>144.81</v>
      </c>
      <c r="BO67" s="48">
        <v>69.38866625</v>
      </c>
      <c r="BP67" s="48"/>
      <c r="BQ67" s="32">
        <f t="shared" si="303"/>
        <v>68.049542375460462</v>
      </c>
      <c r="BR67" s="48">
        <v>1647.4190000000001</v>
      </c>
      <c r="BS67" s="48">
        <v>1679.8380000000002</v>
      </c>
      <c r="BT67" s="201">
        <f t="shared" si="279"/>
        <v>0.98070111522658732</v>
      </c>
      <c r="BU67" s="35">
        <f t="shared" si="280"/>
        <v>438.22789435999709</v>
      </c>
      <c r="BV67" s="31">
        <f t="shared" si="281"/>
        <v>19.407073596043713</v>
      </c>
      <c r="BW67" s="31">
        <f t="shared" si="282"/>
        <v>3.2345122660072851</v>
      </c>
      <c r="BX67" s="44"/>
      <c r="BY67" s="90">
        <f t="shared" si="283"/>
        <v>2594.322894359997</v>
      </c>
      <c r="BZ67" s="38">
        <f t="shared" si="284"/>
        <v>259.43228943599973</v>
      </c>
      <c r="CA67" s="140">
        <f t="shared" si="285"/>
        <v>0.12032507354082253</v>
      </c>
      <c r="CB67" s="38">
        <f t="shared" si="286"/>
        <v>11.489048504380547</v>
      </c>
      <c r="CC67" s="38">
        <f t="shared" si="287"/>
        <v>1.9148414173967576</v>
      </c>
      <c r="CD67" s="38">
        <f t="shared" si="288"/>
        <v>95.483411447761725</v>
      </c>
      <c r="CE67" s="38">
        <f t="shared" si="289"/>
        <v>15.913901907960287</v>
      </c>
      <c r="CF67" s="38">
        <f t="shared" si="290"/>
        <v>28.841572736934328</v>
      </c>
      <c r="CG67" s="38">
        <f t="shared" si="291"/>
        <v>40.330621241314873</v>
      </c>
      <c r="CH67" s="38">
        <f t="shared" si="292"/>
        <v>124.32498418469605</v>
      </c>
      <c r="CI67" s="38">
        <f t="shared" si="293"/>
        <v>4.8069287894890547</v>
      </c>
      <c r="CJ67" s="38">
        <f t="shared" si="294"/>
        <v>6.7217702068858127</v>
      </c>
      <c r="CK67" s="38">
        <f t="shared" si="295"/>
        <v>20.720830697449344</v>
      </c>
      <c r="CL67" s="37">
        <v>4</v>
      </c>
      <c r="CM67" s="38">
        <f t="shared" si="296"/>
        <v>2.8841572736934329</v>
      </c>
      <c r="CN67" s="38">
        <f t="shared" si="297"/>
        <v>65.126674704392457</v>
      </c>
      <c r="CO67" s="145">
        <f t="shared" si="298"/>
        <v>3.0205846544049526E-2</v>
      </c>
      <c r="CP67" s="328">
        <v>128.1</v>
      </c>
      <c r="CQ67" s="328"/>
      <c r="CR67" s="82"/>
      <c r="CS67" s="271"/>
      <c r="CT67" s="133"/>
      <c r="CU67" s="133"/>
      <c r="CV67" s="133"/>
      <c r="CW67" s="133"/>
      <c r="CX67" s="133"/>
      <c r="CY67" s="133"/>
      <c r="CZ67" s="133"/>
      <c r="DA67" s="133"/>
      <c r="DB67" s="133"/>
      <c r="DC67" s="133"/>
      <c r="DD67" s="133"/>
      <c r="DE67" s="273"/>
      <c r="DF67" s="273"/>
      <c r="DG67" s="273"/>
      <c r="DH67" s="132"/>
      <c r="DI67" s="132"/>
      <c r="DJ67" s="132"/>
      <c r="DK67" s="132"/>
      <c r="DL67" s="132"/>
      <c r="DM67" s="132"/>
      <c r="DN67" s="132"/>
      <c r="DO67" s="132"/>
      <c r="DP67" s="132"/>
      <c r="DQ67" s="132"/>
      <c r="DR67" s="132"/>
      <c r="DS67" s="132"/>
      <c r="DT67" s="276"/>
      <c r="DU67" s="276"/>
      <c r="DV67" s="276"/>
      <c r="DW67" s="279"/>
      <c r="DX67" s="279"/>
      <c r="DY67" s="279"/>
      <c r="DZ67" s="279"/>
      <c r="EA67" s="279"/>
      <c r="EB67" s="279"/>
      <c r="EC67" s="279"/>
      <c r="ED67" s="279"/>
      <c r="EE67" s="279"/>
      <c r="EF67" s="279"/>
      <c r="EG67" s="279"/>
      <c r="EH67" s="279"/>
      <c r="EI67" s="281"/>
      <c r="EJ67" s="281"/>
      <c r="EK67" s="295"/>
      <c r="EL67" s="343">
        <v>94.88</v>
      </c>
      <c r="EM67" s="343">
        <v>4</v>
      </c>
      <c r="EN67" s="343">
        <v>15.12</v>
      </c>
      <c r="EO67" s="116"/>
      <c r="EP67" s="116"/>
      <c r="EQ67" s="116"/>
      <c r="ER67" s="116"/>
      <c r="ES67" s="116"/>
      <c r="ET67" s="116"/>
      <c r="EU67" s="116"/>
      <c r="EV67" s="116"/>
      <c r="EW67" s="116"/>
      <c r="EX67" s="116"/>
      <c r="EY67" s="116"/>
      <c r="EZ67" s="116"/>
    </row>
    <row r="68" spans="1:156" s="225" customFormat="1" ht="26.25" customHeight="1" x14ac:dyDescent="0.3">
      <c r="A68" s="43" t="s">
        <v>312</v>
      </c>
      <c r="B68" s="43" t="s">
        <v>313</v>
      </c>
      <c r="C68" s="22">
        <v>2012</v>
      </c>
      <c r="D68" s="52">
        <v>63.875</v>
      </c>
      <c r="E68" s="52">
        <v>25.07</v>
      </c>
      <c r="F68" s="52">
        <v>0</v>
      </c>
      <c r="G68" s="25">
        <f t="shared" si="255"/>
        <v>35.715833333333336</v>
      </c>
      <c r="H68" s="25">
        <f t="shared" si="256"/>
        <v>214.29500000000002</v>
      </c>
      <c r="I68" s="52">
        <v>0</v>
      </c>
      <c r="J68" s="52">
        <v>0</v>
      </c>
      <c r="K68" s="25">
        <v>0</v>
      </c>
      <c r="L68" s="25">
        <f t="shared" si="257"/>
        <v>0</v>
      </c>
      <c r="M68" s="25">
        <f t="shared" si="258"/>
        <v>0</v>
      </c>
      <c r="N68" s="25">
        <f t="shared" si="259"/>
        <v>35.715833333333336</v>
      </c>
      <c r="O68" s="25">
        <f t="shared" si="260"/>
        <v>214.29500000000002</v>
      </c>
      <c r="P68" s="26">
        <f t="shared" si="254"/>
        <v>1</v>
      </c>
      <c r="Q68" s="26">
        <f t="shared" si="261"/>
        <v>0.29807041694859887</v>
      </c>
      <c r="R68" s="26">
        <f t="shared" si="262"/>
        <v>0.70192958305140107</v>
      </c>
      <c r="S68" s="26">
        <f t="shared" si="263"/>
        <v>0</v>
      </c>
      <c r="T68" s="208">
        <v>334.29300000000001</v>
      </c>
      <c r="U68" s="208">
        <v>0</v>
      </c>
      <c r="V68" s="208">
        <v>795.58500000000004</v>
      </c>
      <c r="W68" s="25">
        <f t="shared" si="264"/>
        <v>2801.3429999999998</v>
      </c>
      <c r="X68" s="25">
        <f t="shared" si="269"/>
        <v>982.12199999999984</v>
      </c>
      <c r="Y68" s="25">
        <f t="shared" si="270"/>
        <v>466.89049999999997</v>
      </c>
      <c r="Z68" s="25">
        <f t="shared" si="273"/>
        <v>163.68699999999995</v>
      </c>
      <c r="AA68" s="204">
        <f t="shared" si="299"/>
        <v>0.5398585438492628</v>
      </c>
      <c r="AB68" s="44"/>
      <c r="AC68" s="45">
        <v>-174.73599999999999</v>
      </c>
      <c r="AD68" s="45">
        <v>400.84800000000001</v>
      </c>
      <c r="AE68" s="45">
        <v>89.061000000000007</v>
      </c>
      <c r="AF68" s="45">
        <v>0</v>
      </c>
      <c r="AG68" s="29">
        <f t="shared" si="271"/>
        <v>315.173</v>
      </c>
      <c r="AH68" s="28">
        <v>33.271999999999998</v>
      </c>
      <c r="AI68" s="28">
        <v>166.84399999999999</v>
      </c>
      <c r="AJ68" s="28">
        <v>67.149000000000001</v>
      </c>
      <c r="AK68" s="45">
        <v>0</v>
      </c>
      <c r="AL68" s="29">
        <f t="shared" si="272"/>
        <v>267.26499999999999</v>
      </c>
      <c r="AM68" s="45">
        <v>0</v>
      </c>
      <c r="AN68" s="45">
        <v>0</v>
      </c>
      <c r="AO68" s="45">
        <v>0</v>
      </c>
      <c r="AP68" s="45">
        <v>0</v>
      </c>
      <c r="AQ68" s="29">
        <f t="shared" si="265"/>
        <v>0</v>
      </c>
      <c r="AR68" s="29">
        <f t="shared" si="266"/>
        <v>1918.7629999999999</v>
      </c>
      <c r="AS68" s="29">
        <f t="shared" si="267"/>
        <v>319.79383333333334</v>
      </c>
      <c r="AT68" s="30">
        <v>745.601</v>
      </c>
      <c r="AU68" s="30">
        <v>738.41499999999996</v>
      </c>
      <c r="AV68" s="30">
        <f>857.681-3.3</f>
        <v>854.38100000000009</v>
      </c>
      <c r="AW68" s="30">
        <f>1975.66-1</f>
        <v>1974.66</v>
      </c>
      <c r="AX68" s="31">
        <f t="shared" si="268"/>
        <v>4313.0569999999998</v>
      </c>
      <c r="AY68" s="25">
        <f t="shared" si="274"/>
        <v>7665.98</v>
      </c>
      <c r="AZ68" s="25">
        <f t="shared" si="275"/>
        <v>609.33016666666663</v>
      </c>
      <c r="BA68" s="25">
        <f t="shared" si="276"/>
        <v>3655.9809999999998</v>
      </c>
      <c r="BB68" s="31">
        <f t="shared" si="277"/>
        <v>12.580995360752695</v>
      </c>
      <c r="BC68" s="31">
        <f t="shared" si="278"/>
        <v>2.0968325601254492</v>
      </c>
      <c r="BD68" s="44"/>
      <c r="BE68" s="40">
        <v>195.44</v>
      </c>
      <c r="BF68" s="48">
        <v>121.735</v>
      </c>
      <c r="BG68" s="48"/>
      <c r="BH68" s="32">
        <f t="shared" si="300"/>
        <v>119.76836765827139</v>
      </c>
      <c r="BI68" s="48">
        <v>0.82899999999999996</v>
      </c>
      <c r="BJ68" s="48"/>
      <c r="BK68" s="32">
        <f t="shared" si="301"/>
        <v>0.81560748173250897</v>
      </c>
      <c r="BL68" s="48"/>
      <c r="BM68" s="48">
        <v>228.43799999999999</v>
      </c>
      <c r="BN68" s="32">
        <f t="shared" si="302"/>
        <v>228.43799999999999</v>
      </c>
      <c r="BO68" s="48">
        <v>177.1678919</v>
      </c>
      <c r="BP68" s="48"/>
      <c r="BQ68" s="32">
        <f t="shared" si="303"/>
        <v>174.30573963379538</v>
      </c>
      <c r="BR68" s="48">
        <v>2379.433</v>
      </c>
      <c r="BS68" s="48">
        <v>2418.5039999999999</v>
      </c>
      <c r="BT68" s="201">
        <f t="shared" si="279"/>
        <v>0.98384497193306275</v>
      </c>
      <c r="BU68" s="35">
        <f t="shared" si="280"/>
        <v>718.7677147737993</v>
      </c>
      <c r="BV68" s="31">
        <f t="shared" si="281"/>
        <v>20.124623946628692</v>
      </c>
      <c r="BW68" s="31">
        <f t="shared" si="282"/>
        <v>3.3541039911047821</v>
      </c>
      <c r="BX68" s="44"/>
      <c r="BY68" s="90">
        <f t="shared" si="283"/>
        <v>5031.8247147737993</v>
      </c>
      <c r="BZ68" s="38">
        <f t="shared" si="284"/>
        <v>503.18247147737998</v>
      </c>
      <c r="CA68" s="140">
        <f t="shared" si="285"/>
        <v>0.11666492501197642</v>
      </c>
      <c r="CB68" s="38">
        <f t="shared" si="286"/>
        <v>14.088498699756316</v>
      </c>
      <c r="CC68" s="38">
        <f t="shared" si="287"/>
        <v>2.3480831166260527</v>
      </c>
      <c r="CD68" s="38">
        <f t="shared" si="288"/>
        <v>120.76036305093444</v>
      </c>
      <c r="CE68" s="38">
        <f t="shared" si="289"/>
        <v>20.12672717515574</v>
      </c>
      <c r="CF68" s="38">
        <f t="shared" si="290"/>
        <v>32.705619307381383</v>
      </c>
      <c r="CG68" s="38">
        <f t="shared" si="291"/>
        <v>46.794118007137698</v>
      </c>
      <c r="CH68" s="38">
        <f t="shared" si="292"/>
        <v>153.46598235831584</v>
      </c>
      <c r="CI68" s="38">
        <f t="shared" si="293"/>
        <v>5.4509365512302317</v>
      </c>
      <c r="CJ68" s="38">
        <f t="shared" si="294"/>
        <v>7.7990196678562844</v>
      </c>
      <c r="CK68" s="38">
        <f t="shared" si="295"/>
        <v>25.577663726385971</v>
      </c>
      <c r="CL68" s="37">
        <v>4</v>
      </c>
      <c r="CM68" s="38">
        <f t="shared" si="296"/>
        <v>3.2705619307381384</v>
      </c>
      <c r="CN68" s="38">
        <f t="shared" si="297"/>
        <v>116.81084482458823</v>
      </c>
      <c r="CO68" s="145">
        <f t="shared" si="298"/>
        <v>2.7083074678722827E-2</v>
      </c>
      <c r="CP68" s="328">
        <v>92.7</v>
      </c>
      <c r="CQ68" s="328"/>
      <c r="CR68" s="82"/>
      <c r="CS68" s="270">
        <f>+CT68*CU68</f>
        <v>62.853408800000004</v>
      </c>
      <c r="CT68" s="269">
        <f>0.153751*91.25</f>
        <v>14.02977875</v>
      </c>
      <c r="CU68" s="133">
        <v>4.4800000000000004</v>
      </c>
      <c r="CV68" s="269">
        <f>+CW68*CX68</f>
        <v>56.841742912499996</v>
      </c>
      <c r="CW68" s="269">
        <f>0.177471*91.25</f>
        <v>16.194228750000001</v>
      </c>
      <c r="CX68" s="133">
        <v>3.51</v>
      </c>
      <c r="CY68" s="269">
        <f>+CZ68*DA68</f>
        <v>67.297605000000004</v>
      </c>
      <c r="CZ68" s="269">
        <f>0.184377*91.25</f>
        <v>16.824401250000001</v>
      </c>
      <c r="DA68" s="133">
        <v>4</v>
      </c>
      <c r="DB68" s="269">
        <f t="shared" ref="DB68:DC72" si="304">+DE68-CS68-CV68-CY68</f>
        <v>51.260993287499986</v>
      </c>
      <c r="DC68" s="269">
        <f t="shared" si="304"/>
        <v>16.82659125</v>
      </c>
      <c r="DD68" s="133">
        <f>+DB68/DC68</f>
        <v>3.0464276766394969</v>
      </c>
      <c r="DE68" s="274">
        <f>+DF68*DG68</f>
        <v>238.25375</v>
      </c>
      <c r="DF68" s="274">
        <v>63.875</v>
      </c>
      <c r="DG68" s="273">
        <v>3.73</v>
      </c>
      <c r="DH68" s="272">
        <f>+DI68*DJ68</f>
        <v>495.10722292500003</v>
      </c>
      <c r="DI68" s="272">
        <f>0.059901*91.25</f>
        <v>5.4659662500000001</v>
      </c>
      <c r="DJ68" s="296">
        <v>90.58</v>
      </c>
      <c r="DK68" s="272">
        <f>+DL68*DM68</f>
        <v>479.8357014</v>
      </c>
      <c r="DL68" s="272">
        <f>0.065274*91.25</f>
        <v>5.9562524999999997</v>
      </c>
      <c r="DM68" s="296">
        <v>80.56</v>
      </c>
      <c r="DN68" s="272">
        <f>+DO68*DP68</f>
        <v>546.23294356250005</v>
      </c>
      <c r="DO68" s="272">
        <f>0.072235*91.25</f>
        <v>6.5914437499999998</v>
      </c>
      <c r="DP68" s="296">
        <v>82.87</v>
      </c>
      <c r="DQ68" s="272">
        <f t="shared" ref="DQ68:DR72" si="305">+DT68-DN68-DK68-DH68</f>
        <v>599.49543211249966</v>
      </c>
      <c r="DR68" s="272">
        <f t="shared" si="305"/>
        <v>7.0563375000000006</v>
      </c>
      <c r="DS68" s="296">
        <f>+DQ68/DR68</f>
        <v>84.958440850157686</v>
      </c>
      <c r="DT68" s="277">
        <f>+DU68*DV68</f>
        <v>2120.6713</v>
      </c>
      <c r="DU68" s="277">
        <v>25.07</v>
      </c>
      <c r="DV68" s="297">
        <v>84.59</v>
      </c>
      <c r="DW68" s="99"/>
      <c r="DX68" s="99"/>
      <c r="DY68" s="298"/>
      <c r="DZ68" s="99"/>
      <c r="EA68" s="99"/>
      <c r="EB68" s="298"/>
      <c r="EC68" s="99"/>
      <c r="ED68" s="99"/>
      <c r="EE68" s="298"/>
      <c r="EF68" s="99"/>
      <c r="EG68" s="99"/>
      <c r="EH68" s="298"/>
      <c r="EI68" s="282"/>
      <c r="EJ68" s="282"/>
      <c r="EK68" s="299"/>
      <c r="EL68" s="344">
        <v>94.05</v>
      </c>
      <c r="EM68" s="344">
        <v>2.75</v>
      </c>
      <c r="EN68" s="344">
        <v>10.98</v>
      </c>
      <c r="EO68" s="74">
        <v>2.41</v>
      </c>
      <c r="EP68" s="74">
        <v>2.2799999999999998</v>
      </c>
      <c r="EQ68" s="74">
        <v>2.88</v>
      </c>
      <c r="ER68" s="74">
        <v>3.4</v>
      </c>
      <c r="ES68" s="74">
        <v>13.14</v>
      </c>
      <c r="ET68" s="74">
        <v>10.75</v>
      </c>
      <c r="EU68" s="74">
        <v>9.9600000000000009</v>
      </c>
      <c r="EV68" s="74">
        <v>10.08</v>
      </c>
      <c r="EW68" s="74">
        <v>102.98</v>
      </c>
      <c r="EX68" s="74">
        <v>93.29</v>
      </c>
      <c r="EY68" s="74">
        <v>92.17</v>
      </c>
      <c r="EZ68" s="74">
        <v>88.01</v>
      </c>
    </row>
    <row r="69" spans="1:156" ht="26.25" customHeight="1" x14ac:dyDescent="0.3">
      <c r="A69" s="43" t="s">
        <v>312</v>
      </c>
      <c r="B69" s="43" t="s">
        <v>313</v>
      </c>
      <c r="C69" s="53">
        <v>2013</v>
      </c>
      <c r="D69" s="52">
        <v>87.73</v>
      </c>
      <c r="E69" s="52">
        <v>34.988999999999997</v>
      </c>
      <c r="F69" s="52">
        <v>0</v>
      </c>
      <c r="G69" s="52">
        <f t="shared" si="255"/>
        <v>49.610666666666667</v>
      </c>
      <c r="H69" s="52">
        <f t="shared" si="256"/>
        <v>297.66399999999999</v>
      </c>
      <c r="I69" s="52">
        <v>0</v>
      </c>
      <c r="J69" s="52">
        <v>0</v>
      </c>
      <c r="K69" s="52">
        <v>0</v>
      </c>
      <c r="L69" s="52">
        <f t="shared" si="257"/>
        <v>0</v>
      </c>
      <c r="M69" s="52">
        <f t="shared" si="258"/>
        <v>0</v>
      </c>
      <c r="N69" s="52">
        <f t="shared" si="259"/>
        <v>49.610666666666667</v>
      </c>
      <c r="O69" s="52">
        <f t="shared" si="260"/>
        <v>297.66399999999999</v>
      </c>
      <c r="P69" s="54">
        <f t="shared" si="254"/>
        <v>1</v>
      </c>
      <c r="Q69" s="54">
        <f t="shared" si="261"/>
        <v>0.2947282842399484</v>
      </c>
      <c r="R69" s="54">
        <f t="shared" si="262"/>
        <v>0.70527171576005154</v>
      </c>
      <c r="S69" s="54">
        <f t="shared" si="263"/>
        <v>0</v>
      </c>
      <c r="T69" s="208">
        <v>459.15800000000002</v>
      </c>
      <c r="U69" s="208">
        <v>0</v>
      </c>
      <c r="V69" s="208">
        <v>1309.0509999999999</v>
      </c>
      <c r="W69" s="52">
        <f t="shared" si="264"/>
        <v>4063.9990000000003</v>
      </c>
      <c r="X69" s="52">
        <f t="shared" si="269"/>
        <v>1262.6560000000004</v>
      </c>
      <c r="Y69" s="52">
        <f t="shared" si="270"/>
        <v>677.33316666666667</v>
      </c>
      <c r="Z69" s="52">
        <f t="shared" si="273"/>
        <v>210.4426666666667</v>
      </c>
      <c r="AA69" s="205">
        <f t="shared" si="299"/>
        <v>0.45073238086160827</v>
      </c>
      <c r="AB69" s="44"/>
      <c r="AC69" s="45">
        <v>-241.62299999999999</v>
      </c>
      <c r="AD69" s="45">
        <v>1065.8699999999999</v>
      </c>
      <c r="AE69" s="45">
        <v>0.41899999999999998</v>
      </c>
      <c r="AF69" s="45">
        <v>0</v>
      </c>
      <c r="AG69" s="55">
        <f t="shared" si="271"/>
        <v>824.66599999999983</v>
      </c>
      <c r="AH69" s="45">
        <v>-55.783000000000001</v>
      </c>
      <c r="AI69" s="45">
        <v>267.00900000000001</v>
      </c>
      <c r="AJ69" s="45">
        <v>0.38800000000000001</v>
      </c>
      <c r="AK69" s="45">
        <v>0</v>
      </c>
      <c r="AL69" s="55">
        <f t="shared" si="272"/>
        <v>211.614</v>
      </c>
      <c r="AM69" s="45">
        <v>0</v>
      </c>
      <c r="AN69" s="45">
        <v>0</v>
      </c>
      <c r="AO69" s="45">
        <v>0</v>
      </c>
      <c r="AP69" s="45">
        <v>0</v>
      </c>
      <c r="AQ69" s="55">
        <f t="shared" si="265"/>
        <v>0</v>
      </c>
      <c r="AR69" s="55">
        <f t="shared" si="266"/>
        <v>2094.35</v>
      </c>
      <c r="AS69" s="55">
        <f t="shared" si="267"/>
        <v>349.05833333333328</v>
      </c>
      <c r="AT69" s="46">
        <v>546.88099999999997</v>
      </c>
      <c r="AU69" s="46">
        <v>16.603999999999999</v>
      </c>
      <c r="AV69" s="46">
        <f>687.767-1.8</f>
        <v>685.9670000000001</v>
      </c>
      <c r="AW69" s="46">
        <f>2549.203-6</f>
        <v>2543.203</v>
      </c>
      <c r="AX69" s="50">
        <f t="shared" si="268"/>
        <v>3792.6550000000002</v>
      </c>
      <c r="AY69" s="52">
        <f t="shared" si="274"/>
        <v>10261.807000000001</v>
      </c>
      <c r="AZ69" s="52">
        <f t="shared" si="275"/>
        <v>835.15933333333328</v>
      </c>
      <c r="BA69" s="52">
        <f t="shared" si="276"/>
        <v>5010.9560000000001</v>
      </c>
      <c r="BB69" s="50">
        <f t="shared" si="277"/>
        <v>12.287244589655149</v>
      </c>
      <c r="BC69" s="50">
        <f t="shared" si="278"/>
        <v>2.0478740982758579</v>
      </c>
      <c r="BD69" s="44"/>
      <c r="BE69" s="47">
        <v>282.197</v>
      </c>
      <c r="BF69" s="48">
        <v>144.37899999999999</v>
      </c>
      <c r="BG69" s="48"/>
      <c r="BH69" s="47">
        <f t="shared" si="300"/>
        <v>142.79039199199539</v>
      </c>
      <c r="BI69" s="48">
        <v>29.016999999999999</v>
      </c>
      <c r="BJ69" s="48"/>
      <c r="BK69" s="47">
        <f t="shared" si="301"/>
        <v>28.697724769057345</v>
      </c>
      <c r="BL69" s="48"/>
      <c r="BM69" s="48">
        <v>298.78699999999998</v>
      </c>
      <c r="BN69" s="47">
        <f t="shared" si="302"/>
        <v>298.78699999999998</v>
      </c>
      <c r="BO69" s="48">
        <v>242.74997675</v>
      </c>
      <c r="BP69" s="48"/>
      <c r="BQ69" s="47">
        <f t="shared" si="303"/>
        <v>240.07898888467346</v>
      </c>
      <c r="BR69" s="48">
        <v>3606.7739999999999</v>
      </c>
      <c r="BS69" s="48">
        <v>3646.9009999999998</v>
      </c>
      <c r="BT69" s="202">
        <f t="shared" si="279"/>
        <v>0.98899695933615972</v>
      </c>
      <c r="BU69" s="49">
        <f t="shared" si="280"/>
        <v>992.55110564572624</v>
      </c>
      <c r="BV69" s="50">
        <f t="shared" si="281"/>
        <v>20.00680846146782</v>
      </c>
      <c r="BW69" s="50">
        <f t="shared" si="282"/>
        <v>3.3344680769113038</v>
      </c>
      <c r="BX69" s="44"/>
      <c r="BY69" s="91">
        <f t="shared" si="283"/>
        <v>4785.206105645726</v>
      </c>
      <c r="BZ69" s="56">
        <f t="shared" si="284"/>
        <v>478.52061056457262</v>
      </c>
      <c r="CA69" s="141">
        <f t="shared" si="285"/>
        <v>0.12617035047073161</v>
      </c>
      <c r="CB69" s="56">
        <f t="shared" si="286"/>
        <v>9.6455186498449113</v>
      </c>
      <c r="CC69" s="56">
        <f t="shared" si="287"/>
        <v>1.6075864416408185</v>
      </c>
      <c r="CD69" s="56">
        <f t="shared" si="288"/>
        <v>76.448378036981296</v>
      </c>
      <c r="CE69" s="56">
        <f t="shared" si="289"/>
        <v>12.741396339496884</v>
      </c>
      <c r="CF69" s="56">
        <f t="shared" si="290"/>
        <v>32.294053051122972</v>
      </c>
      <c r="CG69" s="56">
        <f t="shared" si="291"/>
        <v>41.939571700967882</v>
      </c>
      <c r="CH69" s="56">
        <f t="shared" si="292"/>
        <v>108.74243108810427</v>
      </c>
      <c r="CI69" s="56">
        <f t="shared" si="293"/>
        <v>5.3823421751871621</v>
      </c>
      <c r="CJ69" s="38">
        <f t="shared" si="294"/>
        <v>6.9899286168279806</v>
      </c>
      <c r="CK69" s="56">
        <f t="shared" si="295"/>
        <v>18.123738514684046</v>
      </c>
      <c r="CL69" s="51">
        <v>4</v>
      </c>
      <c r="CM69" s="56">
        <f t="shared" si="296"/>
        <v>3.2294053051122971</v>
      </c>
      <c r="CN69" s="56">
        <f t="shared" si="297"/>
        <v>160.21295012349114</v>
      </c>
      <c r="CO69" s="145">
        <f t="shared" si="298"/>
        <v>4.22429538472366E-2</v>
      </c>
      <c r="CP69" s="328">
        <v>152.77500000000001</v>
      </c>
      <c r="CQ69" s="328"/>
      <c r="CR69" s="82"/>
      <c r="CS69" s="270">
        <f>+CT69*CU69</f>
        <v>96.880338525000013</v>
      </c>
      <c r="CT69" s="269">
        <f>0.212766*91.25</f>
        <v>19.414897500000002</v>
      </c>
      <c r="CU69" s="133">
        <v>4.99</v>
      </c>
      <c r="CV69" s="269">
        <f>+CW69*CX69</f>
        <v>113.37868709999999</v>
      </c>
      <c r="CW69" s="269">
        <f>0.238028*91.25</f>
        <v>21.720054999999999</v>
      </c>
      <c r="CX69" s="133">
        <v>5.22</v>
      </c>
      <c r="CY69" s="269">
        <f>+CZ69*DA69</f>
        <v>117.9420895625</v>
      </c>
      <c r="CZ69" s="269">
        <f>0.247135*91.25</f>
        <v>22.551068749999999</v>
      </c>
      <c r="DA69" s="133">
        <v>5.23</v>
      </c>
      <c r="DB69" s="269">
        <f t="shared" si="304"/>
        <v>99.043984812500042</v>
      </c>
      <c r="DC69" s="269">
        <f t="shared" si="304"/>
        <v>24.043978749999994</v>
      </c>
      <c r="DD69" s="133">
        <f>+DB69/DC69</f>
        <v>4.1192843265385131</v>
      </c>
      <c r="DE69" s="274">
        <f>+DF69*DG69</f>
        <v>427.24510000000004</v>
      </c>
      <c r="DF69" s="274">
        <v>87.73</v>
      </c>
      <c r="DG69" s="273">
        <v>4.87</v>
      </c>
      <c r="DH69" s="272">
        <f>+DI69*DJ69</f>
        <v>706.77954771249995</v>
      </c>
      <c r="DI69" s="272">
        <f>0.086071*91.25</f>
        <v>7.8539787499999996</v>
      </c>
      <c r="DJ69" s="296">
        <v>89.99</v>
      </c>
      <c r="DK69" s="272">
        <f>+DL69*DM69</f>
        <v>764.278005925</v>
      </c>
      <c r="DL69" s="272">
        <f>0.096029*91.25</f>
        <v>8.7626462499999995</v>
      </c>
      <c r="DM69" s="296">
        <v>87.22</v>
      </c>
      <c r="DN69" s="272">
        <f>+DO69*DP69</f>
        <v>900.55041829999993</v>
      </c>
      <c r="DO69" s="272">
        <f>0.100684*91.25</f>
        <v>9.1874149999999997</v>
      </c>
      <c r="DP69" s="296">
        <v>98.02</v>
      </c>
      <c r="DQ69" s="272">
        <f t="shared" si="305"/>
        <v>774.95279806250039</v>
      </c>
      <c r="DR69" s="272">
        <f t="shared" si="305"/>
        <v>9.1849599999999967</v>
      </c>
      <c r="DS69" s="296">
        <f>+DQ69/DR69</f>
        <v>84.371929552496766</v>
      </c>
      <c r="DT69" s="277">
        <f>+DU69*DV69</f>
        <v>3146.56077</v>
      </c>
      <c r="DU69" s="277">
        <v>34.988999999999997</v>
      </c>
      <c r="DV69" s="297">
        <v>89.93</v>
      </c>
      <c r="DW69" s="99"/>
      <c r="DX69" s="99"/>
      <c r="DY69" s="298"/>
      <c r="DZ69" s="99"/>
      <c r="EA69" s="99"/>
      <c r="EB69" s="298"/>
      <c r="EC69" s="99"/>
      <c r="ED69" s="99"/>
      <c r="EE69" s="298"/>
      <c r="EF69" s="99"/>
      <c r="EG69" s="99"/>
      <c r="EH69" s="298"/>
      <c r="EI69" s="282"/>
      <c r="EJ69" s="282"/>
      <c r="EK69" s="299"/>
      <c r="EL69" s="344">
        <v>97.98</v>
      </c>
      <c r="EM69" s="344">
        <v>3.73</v>
      </c>
      <c r="EN69" s="344">
        <v>9.94</v>
      </c>
      <c r="EO69" s="74">
        <v>3.49</v>
      </c>
      <c r="EP69" s="74">
        <v>4.01</v>
      </c>
      <c r="EQ69" s="74">
        <v>3.56</v>
      </c>
      <c r="ER69" s="74">
        <v>3.85</v>
      </c>
      <c r="ES69" s="74">
        <v>9.77</v>
      </c>
      <c r="ET69" s="74">
        <v>9.39</v>
      </c>
      <c r="EU69" s="74">
        <v>10.01</v>
      </c>
      <c r="EV69" s="74">
        <v>10.53</v>
      </c>
      <c r="EW69" s="74">
        <v>94.33</v>
      </c>
      <c r="EX69" s="74">
        <v>94.05</v>
      </c>
      <c r="EY69" s="74">
        <v>105.83</v>
      </c>
      <c r="EZ69" s="74">
        <v>97.44</v>
      </c>
    </row>
    <row r="70" spans="1:156" ht="26.25" customHeight="1" x14ac:dyDescent="0.3">
      <c r="A70" s="43" t="s">
        <v>312</v>
      </c>
      <c r="B70" s="43" t="s">
        <v>313</v>
      </c>
      <c r="C70" s="53">
        <v>2014</v>
      </c>
      <c r="D70" s="52">
        <v>114.295</v>
      </c>
      <c r="E70" s="52">
        <v>44.53</v>
      </c>
      <c r="F70" s="52">
        <v>0</v>
      </c>
      <c r="G70" s="52">
        <f t="shared" si="255"/>
        <v>63.579166666666666</v>
      </c>
      <c r="H70" s="52">
        <f t="shared" si="256"/>
        <v>381.47500000000002</v>
      </c>
      <c r="I70" s="52">
        <v>0</v>
      </c>
      <c r="J70" s="52">
        <v>0</v>
      </c>
      <c r="K70" s="52">
        <v>0</v>
      </c>
      <c r="L70" s="52">
        <f t="shared" si="257"/>
        <v>0</v>
      </c>
      <c r="M70" s="52">
        <f t="shared" si="258"/>
        <v>0</v>
      </c>
      <c r="N70" s="52">
        <f t="shared" si="259"/>
        <v>63.579166666666666</v>
      </c>
      <c r="O70" s="52">
        <f t="shared" si="260"/>
        <v>381.47500000000002</v>
      </c>
      <c r="P70" s="54">
        <f t="shared" si="254"/>
        <v>1</v>
      </c>
      <c r="Q70" s="54">
        <f t="shared" ref="Q70:Q102" si="306">D70/H70</f>
        <v>0.29961334294514713</v>
      </c>
      <c r="R70" s="54">
        <f t="shared" si="262"/>
        <v>0.70038665705485292</v>
      </c>
      <c r="S70" s="54">
        <f t="shared" si="263"/>
        <v>0</v>
      </c>
      <c r="T70" s="208">
        <v>524.22299999999996</v>
      </c>
      <c r="U70" s="208">
        <v>0</v>
      </c>
      <c r="V70" s="208">
        <v>1946.335</v>
      </c>
      <c r="W70" s="52">
        <f t="shared" si="264"/>
        <v>5091.6729999999998</v>
      </c>
      <c r="X70" s="52">
        <f t="shared" si="269"/>
        <v>1027.6739999999995</v>
      </c>
      <c r="Y70" s="52">
        <f t="shared" si="270"/>
        <v>848.61216666666655</v>
      </c>
      <c r="Z70" s="52">
        <f t="shared" si="273"/>
        <v>171.27899999999988</v>
      </c>
      <c r="AA70" s="205">
        <f t="shared" si="299"/>
        <v>0.25287260159266756</v>
      </c>
      <c r="AB70" s="44"/>
      <c r="AC70" s="45">
        <v>-244.78299999999999</v>
      </c>
      <c r="AD70" s="45">
        <v>1206.569</v>
      </c>
      <c r="AE70" s="45">
        <v>4.4980000000000002</v>
      </c>
      <c r="AF70" s="45">
        <v>0</v>
      </c>
      <c r="AG70" s="55">
        <f>SUM(AC70:AF70)</f>
        <v>966.28399999999999</v>
      </c>
      <c r="AH70" s="45">
        <v>-67.150999999999996</v>
      </c>
      <c r="AI70" s="45">
        <v>239.52600000000001</v>
      </c>
      <c r="AJ70" s="45">
        <v>0.85</v>
      </c>
      <c r="AK70" s="45">
        <v>0</v>
      </c>
      <c r="AL70" s="55">
        <f t="shared" ref="AL70:AL103" si="307">SUM(AH70:AK70)</f>
        <v>173.22499999999999</v>
      </c>
      <c r="AM70" s="45">
        <v>0</v>
      </c>
      <c r="AN70" s="45">
        <v>0</v>
      </c>
      <c r="AO70" s="45">
        <v>0</v>
      </c>
      <c r="AP70" s="45">
        <v>0</v>
      </c>
      <c r="AQ70" s="55">
        <f>SUM(AM70:AP70)</f>
        <v>0</v>
      </c>
      <c r="AR70" s="55">
        <f t="shared" si="266"/>
        <v>2005.634</v>
      </c>
      <c r="AS70" s="55">
        <f t="shared" si="267"/>
        <v>334.27233333333334</v>
      </c>
      <c r="AT70" s="46">
        <v>409.529</v>
      </c>
      <c r="AU70" s="46">
        <v>48.917000000000002</v>
      </c>
      <c r="AV70" s="46">
        <f>863.606-1.2</f>
        <v>862.40599999999995</v>
      </c>
      <c r="AW70" s="46">
        <f>3670.448-19.1</f>
        <v>3651.348</v>
      </c>
      <c r="AX70" s="50">
        <f t="shared" si="268"/>
        <v>4972.2</v>
      </c>
      <c r="AY70" s="52">
        <f t="shared" si="274"/>
        <v>13077.912</v>
      </c>
      <c r="AZ70" s="52">
        <f t="shared" si="275"/>
        <v>1003.1244999999999</v>
      </c>
      <c r="BA70" s="52">
        <f t="shared" si="276"/>
        <v>6018.7469999999994</v>
      </c>
      <c r="BB70" s="50">
        <f t="shared" si="277"/>
        <v>13.037177339403037</v>
      </c>
      <c r="BC70" s="50">
        <f t="shared" si="278"/>
        <v>2.172862889900506</v>
      </c>
      <c r="BD70" s="44"/>
      <c r="BE70" s="47">
        <v>352.47199999999998</v>
      </c>
      <c r="BF70" s="48">
        <v>184.655</v>
      </c>
      <c r="BG70" s="48"/>
      <c r="BH70" s="47">
        <f t="shared" si="300"/>
        <v>182.96436241987297</v>
      </c>
      <c r="BI70" s="48">
        <v>53.457000000000001</v>
      </c>
      <c r="BJ70" s="48"/>
      <c r="BK70" s="47">
        <f t="shared" si="301"/>
        <v>52.96756611994882</v>
      </c>
      <c r="BL70" s="48"/>
      <c r="BM70" s="48">
        <v>349.76</v>
      </c>
      <c r="BN70" s="47">
        <f t="shared" si="302"/>
        <v>349.76</v>
      </c>
      <c r="BO70" s="48">
        <v>262.65889241666667</v>
      </c>
      <c r="BP70" s="48"/>
      <c r="BQ70" s="47">
        <f t="shared" si="303"/>
        <v>260.25407806409481</v>
      </c>
      <c r="BR70" s="48">
        <v>4203.0219999999999</v>
      </c>
      <c r="BS70" s="48">
        <v>4241.8590000000004</v>
      </c>
      <c r="BT70" s="202">
        <f t="shared" si="279"/>
        <v>0.99084434442540392</v>
      </c>
      <c r="BU70" s="49">
        <f t="shared" si="280"/>
        <v>1198.4180066039166</v>
      </c>
      <c r="BV70" s="50">
        <f t="shared" si="281"/>
        <v>18.849224823706663</v>
      </c>
      <c r="BW70" s="50">
        <f t="shared" si="282"/>
        <v>3.1415374706177772</v>
      </c>
      <c r="BX70" s="44"/>
      <c r="BY70" s="91">
        <f t="shared" si="283"/>
        <v>6170.618006603916</v>
      </c>
      <c r="BZ70" s="56">
        <f t="shared" si="284"/>
        <v>617.06180066039167</v>
      </c>
      <c r="CA70" s="141">
        <f t="shared" si="285"/>
        <v>0.12410236930541646</v>
      </c>
      <c r="CB70" s="56">
        <f t="shared" si="286"/>
        <v>9.7054087527684647</v>
      </c>
      <c r="CC70" s="56">
        <f t="shared" si="287"/>
        <v>1.6175681254614107</v>
      </c>
      <c r="CD70" s="56">
        <f t="shared" si="288"/>
        <v>78.20486270397798</v>
      </c>
      <c r="CE70" s="56">
        <f t="shared" si="289"/>
        <v>13.034143783996329</v>
      </c>
      <c r="CF70" s="56">
        <f t="shared" si="290"/>
        <v>31.8864021631097</v>
      </c>
      <c r="CG70" s="56">
        <f t="shared" si="291"/>
        <v>41.591810915878163</v>
      </c>
      <c r="CH70" s="56">
        <f t="shared" si="292"/>
        <v>110.09126486708769</v>
      </c>
      <c r="CI70" s="56">
        <f t="shared" si="293"/>
        <v>5.3144003605182828</v>
      </c>
      <c r="CJ70" s="56">
        <f t="shared" si="294"/>
        <v>6.9319684859796933</v>
      </c>
      <c r="CK70" s="56">
        <f t="shared" si="295"/>
        <v>18.348544144514612</v>
      </c>
      <c r="CL70" s="51">
        <v>4</v>
      </c>
      <c r="CM70" s="56">
        <f t="shared" si="296"/>
        <v>3.1886402163109699</v>
      </c>
      <c r="CN70" s="56">
        <f t="shared" si="297"/>
        <v>202.73108775287122</v>
      </c>
      <c r="CO70" s="173">
        <f t="shared" si="298"/>
        <v>4.0772914957739277E-2</v>
      </c>
      <c r="CP70" s="328">
        <v>93.421000000000006</v>
      </c>
      <c r="CQ70" s="328"/>
      <c r="CR70" s="82"/>
      <c r="CS70" s="270">
        <f>+CT70*CU70</f>
        <v>178.08891477499998</v>
      </c>
      <c r="CT70" s="269">
        <f>0.276439*91.25</f>
        <v>25.225058749999999</v>
      </c>
      <c r="CU70" s="133">
        <v>7.06</v>
      </c>
      <c r="CV70" s="269">
        <f>+CW70*CX70</f>
        <v>153.142303575</v>
      </c>
      <c r="CW70" s="269">
        <f>0.309074*91.25</f>
        <v>28.2030025</v>
      </c>
      <c r="CX70" s="133">
        <v>5.43</v>
      </c>
      <c r="CY70" s="269">
        <f>+CZ70*DA70</f>
        <v>152.311187625</v>
      </c>
      <c r="CZ70" s="269">
        <f>0.327287*91.25</f>
        <v>29.86493875</v>
      </c>
      <c r="DA70" s="133">
        <v>5.0999999999999996</v>
      </c>
      <c r="DB70" s="269">
        <f t="shared" si="304"/>
        <v>133.65059402500015</v>
      </c>
      <c r="DC70" s="269">
        <f t="shared" si="304"/>
        <v>31.002000000000002</v>
      </c>
      <c r="DD70" s="133">
        <f>+DB70/DC70</f>
        <v>4.3110313536223517</v>
      </c>
      <c r="DE70" s="274">
        <f>+DF70*DG70</f>
        <v>617.1930000000001</v>
      </c>
      <c r="DF70" s="274">
        <v>114.295</v>
      </c>
      <c r="DG70" s="273">
        <v>5.4</v>
      </c>
      <c r="DH70" s="272">
        <f>+DI70*DJ70</f>
        <v>871.17219427500004</v>
      </c>
      <c r="DI70" s="272">
        <f>0.106398*91.25</f>
        <v>9.7088175000000003</v>
      </c>
      <c r="DJ70" s="296">
        <v>89.73</v>
      </c>
      <c r="DK70" s="272">
        <f>+DL70*DM70</f>
        <v>980.81601978750007</v>
      </c>
      <c r="DL70" s="272">
        <f>0.116441*91.25</f>
        <v>10.62524125</v>
      </c>
      <c r="DM70" s="296">
        <v>92.31</v>
      </c>
      <c r="DN70" s="272">
        <f>+DO70*DP70</f>
        <v>996.86939595000013</v>
      </c>
      <c r="DO70" s="272">
        <f>0.127788*91.25</f>
        <v>11.660655000000002</v>
      </c>
      <c r="DP70" s="296">
        <v>85.49</v>
      </c>
      <c r="DQ70" s="272">
        <f t="shared" si="305"/>
        <v>769.6501899875002</v>
      </c>
      <c r="DR70" s="272">
        <f t="shared" si="305"/>
        <v>12.535286249999993</v>
      </c>
      <c r="DS70" s="296">
        <f>+DQ70/DR70</f>
        <v>61.398692829013029</v>
      </c>
      <c r="DT70" s="277">
        <f>+DU70*DV70</f>
        <v>3618.5078000000003</v>
      </c>
      <c r="DU70" s="277">
        <v>44.53</v>
      </c>
      <c r="DV70" s="297">
        <v>81.260000000000005</v>
      </c>
      <c r="DW70" s="99"/>
      <c r="DX70" s="99"/>
      <c r="DY70" s="298"/>
      <c r="DZ70" s="99"/>
      <c r="EA70" s="99"/>
      <c r="EB70" s="298"/>
      <c r="EC70" s="99"/>
      <c r="ED70" s="99"/>
      <c r="EE70" s="298"/>
      <c r="EF70" s="99"/>
      <c r="EG70" s="99"/>
      <c r="EH70" s="298"/>
      <c r="EI70" s="282"/>
      <c r="EJ70" s="282"/>
      <c r="EK70" s="299"/>
      <c r="EL70" s="344">
        <v>93.17</v>
      </c>
      <c r="EM70" s="344">
        <v>4.37</v>
      </c>
      <c r="EN70" s="344">
        <v>9.56</v>
      </c>
      <c r="EO70" s="74">
        <v>5.21</v>
      </c>
      <c r="EP70" s="74">
        <v>4.6100000000000003</v>
      </c>
      <c r="EQ70" s="74">
        <v>3.96</v>
      </c>
      <c r="ER70" s="74">
        <v>3.8</v>
      </c>
      <c r="ES70" s="74">
        <v>11.19</v>
      </c>
      <c r="ET70" s="74">
        <v>10.15</v>
      </c>
      <c r="EU70" s="74">
        <v>9.83</v>
      </c>
      <c r="EV70" s="74">
        <v>7.41</v>
      </c>
      <c r="EW70" s="74">
        <v>98.68</v>
      </c>
      <c r="EX70" s="74">
        <v>103.35</v>
      </c>
      <c r="EY70" s="74">
        <v>97.87</v>
      </c>
      <c r="EZ70" s="74">
        <v>73.209999999999994</v>
      </c>
    </row>
    <row r="71" spans="1:156" ht="26.25" customHeight="1" x14ac:dyDescent="0.3">
      <c r="A71" s="43" t="s">
        <v>312</v>
      </c>
      <c r="B71" s="43" t="s">
        <v>313</v>
      </c>
      <c r="C71" s="53">
        <v>2015</v>
      </c>
      <c r="D71" s="52">
        <v>164.45400000000001</v>
      </c>
      <c r="E71" s="52">
        <v>53.517000000000003</v>
      </c>
      <c r="F71" s="52">
        <v>0</v>
      </c>
      <c r="G71" s="52">
        <f t="shared" si="255"/>
        <v>80.926000000000002</v>
      </c>
      <c r="H71" s="52">
        <f t="shared" si="256"/>
        <v>485.55600000000004</v>
      </c>
      <c r="I71" s="52">
        <v>0</v>
      </c>
      <c r="J71" s="52">
        <v>0</v>
      </c>
      <c r="K71" s="52">
        <v>0</v>
      </c>
      <c r="L71" s="52">
        <f>I71/6+J71+K71</f>
        <v>0</v>
      </c>
      <c r="M71" s="52">
        <f>I71+J71*6+K71*6</f>
        <v>0</v>
      </c>
      <c r="N71" s="52">
        <f t="shared" si="259"/>
        <v>80.926000000000002</v>
      </c>
      <c r="O71" s="52">
        <f>H71+M71</f>
        <v>485.55600000000004</v>
      </c>
      <c r="P71" s="54">
        <f t="shared" si="254"/>
        <v>1</v>
      </c>
      <c r="Q71" s="54">
        <f t="shared" si="306"/>
        <v>0.33869213849689839</v>
      </c>
      <c r="R71" s="54">
        <f t="shared" si="262"/>
        <v>0.66130786150310161</v>
      </c>
      <c r="S71" s="54">
        <f t="shared" si="263"/>
        <v>0</v>
      </c>
      <c r="T71" s="208">
        <v>373.71600000000001</v>
      </c>
      <c r="U71" s="208">
        <v>0</v>
      </c>
      <c r="V71" s="208">
        <v>1961.443</v>
      </c>
      <c r="W71" s="52">
        <f>+T71*6+U71*6+V71</f>
        <v>4203.7390000000005</v>
      </c>
      <c r="X71" s="52">
        <f t="shared" si="269"/>
        <v>-887.93399999999929</v>
      </c>
      <c r="Y71" s="52">
        <f t="shared" si="270"/>
        <v>700.62316666666675</v>
      </c>
      <c r="Z71" s="52">
        <f t="shared" si="273"/>
        <v>-147.98899999999981</v>
      </c>
      <c r="AA71" s="205">
        <f t="shared" si="299"/>
        <v>-0.17438943938465784</v>
      </c>
      <c r="AB71" s="44"/>
      <c r="AC71" s="45">
        <v>-302.14299999999997</v>
      </c>
      <c r="AD71" s="45">
        <v>710.45299999999997</v>
      </c>
      <c r="AE71" s="45">
        <v>0</v>
      </c>
      <c r="AF71" s="45">
        <v>0</v>
      </c>
      <c r="AG71" s="55">
        <f>SUM(AC71:AF71)</f>
        <v>408.31</v>
      </c>
      <c r="AH71" s="45">
        <v>-246.84</v>
      </c>
      <c r="AI71" s="45">
        <v>134.76400000000001</v>
      </c>
      <c r="AJ71" s="45">
        <v>0</v>
      </c>
      <c r="AK71" s="45">
        <v>0</v>
      </c>
      <c r="AL71" s="55">
        <f t="shared" si="307"/>
        <v>-112.07599999999999</v>
      </c>
      <c r="AM71" s="45">
        <v>0</v>
      </c>
      <c r="AN71" s="45">
        <v>0</v>
      </c>
      <c r="AO71" s="45">
        <v>0</v>
      </c>
      <c r="AP71" s="45">
        <v>0</v>
      </c>
      <c r="AQ71" s="55">
        <f>SUM(AM71:AP71)</f>
        <v>0</v>
      </c>
      <c r="AR71" s="55">
        <f>(AG71)+(AL71*6)+AQ71*6</f>
        <v>-264.1459999999999</v>
      </c>
      <c r="AS71" s="55">
        <f>AG71/6+AL71+AQ71</f>
        <v>-44.024333333333331</v>
      </c>
      <c r="AT71" s="46">
        <v>168.49199999999999</v>
      </c>
      <c r="AU71" s="46">
        <v>0.55700000000000005</v>
      </c>
      <c r="AV71" s="46">
        <f>241.523-3.3</f>
        <v>238.22299999999998</v>
      </c>
      <c r="AW71" s="46">
        <f>2148.53-19.5</f>
        <v>2129.0300000000002</v>
      </c>
      <c r="AX71" s="50">
        <f t="shared" si="268"/>
        <v>2536.3020000000001</v>
      </c>
      <c r="AY71" s="52">
        <f>SUM(AX69:AX71)</f>
        <v>11301.156999999999</v>
      </c>
      <c r="AZ71" s="52">
        <f t="shared" si="275"/>
        <v>639.30633333333333</v>
      </c>
      <c r="BA71" s="52">
        <f t="shared" si="276"/>
        <v>3835.8380000000006</v>
      </c>
      <c r="BB71" s="50">
        <f>AY71/AZ71</f>
        <v>17.677217338167043</v>
      </c>
      <c r="BC71" s="50">
        <f>AY71/BA71</f>
        <v>2.9462028896945069</v>
      </c>
      <c r="BD71" s="44"/>
      <c r="BE71" s="47">
        <v>348.89699999999999</v>
      </c>
      <c r="BF71" s="48">
        <v>189.846</v>
      </c>
      <c r="BG71" s="48"/>
      <c r="BH71" s="47">
        <f t="shared" si="300"/>
        <v>187.16587586874422</v>
      </c>
      <c r="BI71" s="48">
        <v>0.03</v>
      </c>
      <c r="BJ71" s="48"/>
      <c r="BK71" s="47">
        <f t="shared" si="301"/>
        <v>2.9576479230862523E-2</v>
      </c>
      <c r="BL71" s="48"/>
      <c r="BM71" s="48">
        <v>200.637</v>
      </c>
      <c r="BN71" s="47">
        <f t="shared" si="302"/>
        <v>200.637</v>
      </c>
      <c r="BO71" s="48">
        <v>305.54302235</v>
      </c>
      <c r="BP71" s="48"/>
      <c r="BQ71" s="47">
        <f t="shared" si="303"/>
        <v>301.22956182232463</v>
      </c>
      <c r="BR71" s="48">
        <v>2552.5309999999999</v>
      </c>
      <c r="BS71" s="48">
        <v>2589.0819999999999</v>
      </c>
      <c r="BT71" s="202">
        <f t="shared" si="279"/>
        <v>0.98588264102875078</v>
      </c>
      <c r="BU71" s="49">
        <f t="shared" si="280"/>
        <v>1037.9590141702997</v>
      </c>
      <c r="BV71" s="50">
        <f t="shared" si="281"/>
        <v>12.826026421302174</v>
      </c>
      <c r="BW71" s="50">
        <f t="shared" si="282"/>
        <v>2.1376710702170287</v>
      </c>
      <c r="BX71" s="44"/>
      <c r="BY71" s="91">
        <f t="shared" si="283"/>
        <v>3574.2610141702999</v>
      </c>
      <c r="BZ71" s="56">
        <f>(BY71*0.1)</f>
        <v>357.42610141703</v>
      </c>
      <c r="CA71" s="141">
        <f t="shared" si="285"/>
        <v>0.1409241097538976</v>
      </c>
      <c r="CB71" s="56">
        <f t="shared" si="286"/>
        <v>4.4167029312832708</v>
      </c>
      <c r="CC71" s="56">
        <f t="shared" si="287"/>
        <v>0.73611715521387844</v>
      </c>
      <c r="CD71" s="56">
        <f t="shared" si="288"/>
        <v>31.341002891530536</v>
      </c>
      <c r="CE71" s="56">
        <f t="shared" si="289"/>
        <v>5.2235004819217554</v>
      </c>
      <c r="CF71" s="56">
        <f t="shared" si="290"/>
        <v>30.503243759469218</v>
      </c>
      <c r="CG71" s="56">
        <f>CB71+CF71</f>
        <v>34.919946690752489</v>
      </c>
      <c r="CH71" s="56">
        <f>CF71+CD71</f>
        <v>61.84424665099975</v>
      </c>
      <c r="CI71" s="56">
        <f t="shared" si="293"/>
        <v>5.0838739599115357</v>
      </c>
      <c r="CJ71" s="56">
        <f>+CI71+CC71</f>
        <v>5.819991115125414</v>
      </c>
      <c r="CK71" s="56">
        <f>+CI71+CE71</f>
        <v>10.307374441833291</v>
      </c>
      <c r="CL71" s="51">
        <v>4</v>
      </c>
      <c r="CM71" s="56">
        <f t="shared" si="296"/>
        <v>3.0503243759469219</v>
      </c>
      <c r="CN71" s="56">
        <f t="shared" si="297"/>
        <v>246.85055044788061</v>
      </c>
      <c r="CO71" s="173">
        <f t="shared" si="298"/>
        <v>9.7326954931976004E-2</v>
      </c>
      <c r="CP71" s="174">
        <v>59.396999999999998</v>
      </c>
      <c r="CQ71" s="328"/>
      <c r="CR71" s="169"/>
      <c r="CS71" s="270">
        <f>+CT71*CU71</f>
        <v>93.59934075000001</v>
      </c>
      <c r="CT71" s="269">
        <f>0.379906*91.25</f>
        <v>34.666422500000003</v>
      </c>
      <c r="CU71" s="133">
        <v>2.7</v>
      </c>
      <c r="CV71" s="269">
        <f>+CW71*CX71</f>
        <v>96.940749674999992</v>
      </c>
      <c r="CW71" s="269">
        <f>0.459898*91.25</f>
        <v>41.965692499999996</v>
      </c>
      <c r="CX71" s="133">
        <v>2.31</v>
      </c>
      <c r="CY71" s="269">
        <f>+CZ71*DA71</f>
        <v>98.657658574999985</v>
      </c>
      <c r="CZ71" s="269">
        <f>0.484834*91.25</f>
        <v>44.241102499999997</v>
      </c>
      <c r="DA71" s="133">
        <v>2.23</v>
      </c>
      <c r="DB71" s="269">
        <f t="shared" si="304"/>
        <v>90.690991000000039</v>
      </c>
      <c r="DC71" s="269">
        <f t="shared" si="304"/>
        <v>43.580782500000012</v>
      </c>
      <c r="DD71" s="133">
        <f>+DB71/DC71</f>
        <v>2.0809858336068201</v>
      </c>
      <c r="DE71" s="274">
        <f>+DF71*DG71</f>
        <v>379.88874000000004</v>
      </c>
      <c r="DF71" s="274">
        <v>164.45400000000001</v>
      </c>
      <c r="DG71" s="273">
        <v>2.31</v>
      </c>
      <c r="DH71" s="272">
        <f>+DI71*DJ71</f>
        <v>504.95780460000003</v>
      </c>
      <c r="DI71" s="272">
        <f>0.143511*91.25</f>
        <v>13.09537875</v>
      </c>
      <c r="DJ71" s="296">
        <v>38.56</v>
      </c>
      <c r="DK71" s="272">
        <f>+DL71*DM71</f>
        <v>681.71656630000007</v>
      </c>
      <c r="DL71" s="272">
        <f>0.149897*91.25</f>
        <v>13.678101250000001</v>
      </c>
      <c r="DM71" s="296">
        <v>49.84</v>
      </c>
      <c r="DN71" s="272">
        <f>+DO71*DP71</f>
        <v>524.14313900000002</v>
      </c>
      <c r="DO71" s="272">
        <f>0.147472*91.25</f>
        <v>13.456819999999999</v>
      </c>
      <c r="DP71" s="296">
        <v>38.950000000000003</v>
      </c>
      <c r="DQ71" s="272">
        <f t="shared" si="305"/>
        <v>456.62099010000009</v>
      </c>
      <c r="DR71" s="272">
        <f t="shared" si="305"/>
        <v>13.286700000000002</v>
      </c>
      <c r="DS71" s="296">
        <f>+DQ71/DR71</f>
        <v>34.366772042719411</v>
      </c>
      <c r="DT71" s="277">
        <f>+DU71*DV71</f>
        <v>2167.4385000000002</v>
      </c>
      <c r="DU71" s="277">
        <v>53.517000000000003</v>
      </c>
      <c r="DV71" s="297">
        <v>40.5</v>
      </c>
      <c r="DW71" s="99"/>
      <c r="DX71" s="99"/>
      <c r="DY71" s="298"/>
      <c r="DZ71" s="99"/>
      <c r="EA71" s="99"/>
      <c r="EB71" s="298"/>
      <c r="EC71" s="99"/>
      <c r="ED71" s="99"/>
      <c r="EE71" s="298"/>
      <c r="EF71" s="99"/>
      <c r="EG71" s="99"/>
      <c r="EH71" s="298"/>
      <c r="EI71" s="282"/>
      <c r="EJ71" s="282"/>
      <c r="EK71" s="299"/>
      <c r="EL71" s="344">
        <v>48.66</v>
      </c>
      <c r="EM71" s="344">
        <v>2.62</v>
      </c>
      <c r="EN71" s="344">
        <v>4.97</v>
      </c>
      <c r="EO71" s="331">
        <v>2.9</v>
      </c>
      <c r="EP71" s="331">
        <v>2.75</v>
      </c>
      <c r="EQ71" s="331">
        <v>2.76</v>
      </c>
      <c r="ER71" s="331">
        <v>2.12</v>
      </c>
      <c r="ES71" s="331">
        <v>5.43</v>
      </c>
      <c r="ET71" s="331">
        <v>5.2</v>
      </c>
      <c r="EU71" s="331">
        <v>4.68</v>
      </c>
      <c r="EV71" s="331">
        <v>4.5999999999999996</v>
      </c>
      <c r="EW71" s="331">
        <v>48.49</v>
      </c>
      <c r="EX71" s="331">
        <v>57.85</v>
      </c>
      <c r="EY71" s="331">
        <v>46.64</v>
      </c>
      <c r="EZ71" s="331">
        <v>41.94</v>
      </c>
    </row>
    <row r="72" spans="1:156" ht="26.25" customHeight="1" x14ac:dyDescent="0.3">
      <c r="A72" s="228" t="s">
        <v>312</v>
      </c>
      <c r="B72" s="228" t="s">
        <v>313</v>
      </c>
      <c r="C72" s="229">
        <v>2016</v>
      </c>
      <c r="D72" s="216">
        <v>195.24</v>
      </c>
      <c r="E72" s="216">
        <v>46.85</v>
      </c>
      <c r="F72" s="216">
        <v>0</v>
      </c>
      <c r="G72" s="216">
        <f t="shared" si="255"/>
        <v>79.39</v>
      </c>
      <c r="H72" s="216">
        <f t="shared" si="256"/>
        <v>476.34000000000003</v>
      </c>
      <c r="I72" s="216">
        <v>0</v>
      </c>
      <c r="J72" s="216">
        <v>0</v>
      </c>
      <c r="K72" s="216">
        <v>0</v>
      </c>
      <c r="L72" s="216">
        <f>I72/6+J72+K72</f>
        <v>0</v>
      </c>
      <c r="M72" s="216">
        <f>I72+J72*6+K72*6</f>
        <v>0</v>
      </c>
      <c r="N72" s="216">
        <f t="shared" si="259"/>
        <v>79.39</v>
      </c>
      <c r="O72" s="216">
        <f>H72+M72</f>
        <v>476.34000000000003</v>
      </c>
      <c r="P72" s="302">
        <f t="shared" si="254"/>
        <v>1</v>
      </c>
      <c r="Q72" s="302">
        <f t="shared" si="306"/>
        <v>0.40987529915606497</v>
      </c>
      <c r="R72" s="302">
        <f t="shared" si="262"/>
        <v>0.59012470084393498</v>
      </c>
      <c r="S72" s="302">
        <f t="shared" si="263"/>
        <v>0</v>
      </c>
      <c r="T72" s="209">
        <v>353.01799999999997</v>
      </c>
      <c r="U72" s="209">
        <v>0</v>
      </c>
      <c r="V72" s="209">
        <v>2419.1979999999999</v>
      </c>
      <c r="W72" s="216">
        <f>+T72*6+U72*6+V72</f>
        <v>4537.3059999999996</v>
      </c>
      <c r="X72" s="216">
        <f t="shared" si="269"/>
        <v>333.5669999999991</v>
      </c>
      <c r="Y72" s="216">
        <f t="shared" si="270"/>
        <v>756.21766666666667</v>
      </c>
      <c r="Z72" s="216">
        <f>Y72-Y71</f>
        <v>55.594499999999925</v>
      </c>
      <c r="AA72" s="206">
        <f>+Z72/Y71</f>
        <v>7.9350073827133299E-2</v>
      </c>
      <c r="AB72" s="230"/>
      <c r="AC72" s="231">
        <v>-63.057000000000002</v>
      </c>
      <c r="AD72" s="231">
        <v>911.06200000000001</v>
      </c>
      <c r="AE72" s="231">
        <v>0</v>
      </c>
      <c r="AF72" s="231">
        <v>0</v>
      </c>
      <c r="AG72" s="303">
        <f>SUM(AC72:AF72)</f>
        <v>848.005</v>
      </c>
      <c r="AH72" s="231">
        <v>-99.965999999999994</v>
      </c>
      <c r="AI72" s="231">
        <v>97.587000000000003</v>
      </c>
      <c r="AJ72" s="231">
        <v>0</v>
      </c>
      <c r="AK72" s="231">
        <v>0</v>
      </c>
      <c r="AL72" s="303">
        <f t="shared" si="307"/>
        <v>-2.3789999999999907</v>
      </c>
      <c r="AM72" s="231">
        <v>0</v>
      </c>
      <c r="AN72" s="231">
        <v>0</v>
      </c>
      <c r="AO72" s="231">
        <v>0</v>
      </c>
      <c r="AP72" s="231">
        <v>0</v>
      </c>
      <c r="AQ72" s="303">
        <f>SUM(AM72:AP72)</f>
        <v>0</v>
      </c>
      <c r="AR72" s="303">
        <f>(AG72)+(AL72*6)+AQ72*6</f>
        <v>833.73099999999999</v>
      </c>
      <c r="AS72" s="303">
        <f>AG72/6+AL72+AQ72</f>
        <v>138.95516666666668</v>
      </c>
      <c r="AT72" s="232">
        <v>149.96199999999999</v>
      </c>
      <c r="AU72" s="232">
        <v>5.008</v>
      </c>
      <c r="AV72" s="232">
        <v>182.35499999999999</v>
      </c>
      <c r="AW72" s="232">
        <v>767.14800000000002</v>
      </c>
      <c r="AX72" s="215">
        <f>SUM(AT72:AW72)</f>
        <v>1104.473</v>
      </c>
      <c r="AY72" s="216">
        <f>SUM(AX70:AX72)</f>
        <v>8612.9750000000004</v>
      </c>
      <c r="AZ72" s="216">
        <f>SUM(AS70:AS72)</f>
        <v>429.20316666666668</v>
      </c>
      <c r="BA72" s="216">
        <f>SUM(AR70:AR72)</f>
        <v>2575.2190000000001</v>
      </c>
      <c r="BB72" s="215">
        <f>AY72/AZ72</f>
        <v>20.067361261314087</v>
      </c>
      <c r="BC72" s="215">
        <f>AY72/BA72</f>
        <v>3.3445602102190146</v>
      </c>
      <c r="BD72" s="230"/>
      <c r="BE72" s="212">
        <v>289.28899999999999</v>
      </c>
      <c r="BF72" s="200">
        <v>169.58</v>
      </c>
      <c r="BG72" s="200"/>
      <c r="BH72" s="212">
        <f>IF(BG72=0,BF72*$BT72,BG72)</f>
        <v>169.07452276270351</v>
      </c>
      <c r="BI72" s="200">
        <v>2E-3</v>
      </c>
      <c r="BJ72" s="200"/>
      <c r="BK72" s="212">
        <f>IF(BJ72=0,BI72*$BT72,BJ72)</f>
        <v>1.9940384805130734E-3</v>
      </c>
      <c r="BL72" s="200"/>
      <c r="BM72" s="200">
        <v>142.38800000000001</v>
      </c>
      <c r="BN72" s="212">
        <f>IF(BM72=0,BL72*$BT72,BM72)</f>
        <v>142.38800000000001</v>
      </c>
      <c r="BO72" s="211">
        <v>310</v>
      </c>
      <c r="BP72" s="200"/>
      <c r="BQ72" s="212">
        <f>IF(BP72=0,BO72*$BT72,BP72)</f>
        <v>309.07596447952642</v>
      </c>
      <c r="BR72" s="200">
        <v>2020.9580000000001</v>
      </c>
      <c r="BS72" s="211">
        <v>2027</v>
      </c>
      <c r="BT72" s="203">
        <f>+P72*BR72/BS72</f>
        <v>0.99701924025653677</v>
      </c>
      <c r="BU72" s="220">
        <f>BQ72+BN72+BK72+BH72+BE72</f>
        <v>909.82948128071052</v>
      </c>
      <c r="BV72" s="215">
        <f>BU72/G72</f>
        <v>11.460252944712312</v>
      </c>
      <c r="BW72" s="215">
        <f>BU72/H72</f>
        <v>1.9100421574520521</v>
      </c>
      <c r="BX72" s="230"/>
      <c r="BY72" s="304">
        <f>BU72+AX72</f>
        <v>2014.3024812807105</v>
      </c>
      <c r="BZ72" s="305">
        <f>(BY72*0.1)</f>
        <v>201.43024812807107</v>
      </c>
      <c r="CA72" s="306">
        <f>+BZ72/AX72</f>
        <v>0.18237679701366269</v>
      </c>
      <c r="CB72" s="305">
        <f>BZ72/G72</f>
        <v>2.537224437940182</v>
      </c>
      <c r="CC72" s="305">
        <f>BZ72/H72</f>
        <v>0.42287073965669703</v>
      </c>
      <c r="CD72" s="305">
        <f>+$AX72/G72</f>
        <v>13.911991434689506</v>
      </c>
      <c r="CE72" s="305">
        <f>+$AX72/H72</f>
        <v>2.3186652391149178</v>
      </c>
      <c r="CF72" s="305">
        <f>BB72+BV72</f>
        <v>31.527614206026399</v>
      </c>
      <c r="CG72" s="305">
        <f>CB72+CF72</f>
        <v>34.064838643966581</v>
      </c>
      <c r="CH72" s="305">
        <f>CF72+CD72</f>
        <v>45.439605640715904</v>
      </c>
      <c r="CI72" s="305">
        <f>+BC72+BW72</f>
        <v>5.2546023676710671</v>
      </c>
      <c r="CJ72" s="305">
        <f>+CI72+CC72</f>
        <v>5.6774731073277644</v>
      </c>
      <c r="CK72" s="305">
        <f>+CI72+CE72</f>
        <v>7.5732676067859845</v>
      </c>
      <c r="CL72" s="307">
        <v>4</v>
      </c>
      <c r="CM72" s="305">
        <f>+CF72/10</f>
        <v>3.1527614206026398</v>
      </c>
      <c r="CN72" s="305">
        <f>+CM72*G72</f>
        <v>250.29772918164358</v>
      </c>
      <c r="CO72" s="308">
        <f>+CN72/AX72</f>
        <v>0.22662186326116038</v>
      </c>
      <c r="CP72" s="309">
        <v>34.851999999999997</v>
      </c>
      <c r="CQ72" s="329"/>
      <c r="CR72" s="325"/>
      <c r="CS72" s="313">
        <f>+CT72*CU72</f>
        <v>62.794351800000001</v>
      </c>
      <c r="CT72" s="313">
        <f>0.505998*91.25</f>
        <v>46.172317499999998</v>
      </c>
      <c r="CU72" s="314">
        <v>1.36</v>
      </c>
      <c r="CV72" s="313">
        <f>+CW72*CX72</f>
        <v>61.881814387500008</v>
      </c>
      <c r="CW72" s="313">
        <f>0.517677*91.25</f>
        <v>47.238026250000004</v>
      </c>
      <c r="CX72" s="314">
        <v>1.31</v>
      </c>
      <c r="CY72" s="313">
        <f>+CZ72*DA72</f>
        <v>101.26336255000001</v>
      </c>
      <c r="CZ72" s="313">
        <f>0.549374*91.25</f>
        <v>50.130377500000002</v>
      </c>
      <c r="DA72" s="314">
        <v>2.02</v>
      </c>
      <c r="DB72" s="313">
        <f t="shared" si="304"/>
        <v>139.1592712625</v>
      </c>
      <c r="DC72" s="313">
        <f t="shared" si="304"/>
        <v>51.699278750000012</v>
      </c>
      <c r="DD72" s="314">
        <f>+DB72/DC72</f>
        <v>2.6917062409212038</v>
      </c>
      <c r="DE72" s="315">
        <f>+DF72*DG72</f>
        <v>365.09880000000004</v>
      </c>
      <c r="DF72" s="315">
        <v>195.24</v>
      </c>
      <c r="DG72" s="316">
        <v>1.87</v>
      </c>
      <c r="DH72" s="317">
        <f>+DI72*DJ72</f>
        <v>343.75541954999994</v>
      </c>
      <c r="DI72" s="317">
        <f>0.146469*91.25</f>
        <v>13.365296249999998</v>
      </c>
      <c r="DJ72" s="318">
        <v>25.72</v>
      </c>
      <c r="DK72" s="317">
        <f>+DL72*DM72</f>
        <v>465.9433707</v>
      </c>
      <c r="DL72" s="317">
        <f>0.133044*91.25</f>
        <v>12.140264999999999</v>
      </c>
      <c r="DM72" s="318">
        <v>38.380000000000003</v>
      </c>
      <c r="DN72" s="317">
        <f>+DO72*DP72</f>
        <v>399.58300357499996</v>
      </c>
      <c r="DO72" s="317">
        <f>0.116277*91.25</f>
        <v>10.61027625</v>
      </c>
      <c r="DP72" s="317">
        <v>37.659999999999997</v>
      </c>
      <c r="DQ72" s="317">
        <f t="shared" si="305"/>
        <v>454.36170617499988</v>
      </c>
      <c r="DR72" s="317">
        <f t="shared" si="305"/>
        <v>10.734162500000005</v>
      </c>
      <c r="DS72" s="318">
        <f>+DQ72/DR72</f>
        <v>42.328566031583705</v>
      </c>
      <c r="DT72" s="319">
        <f>+DU72*DV72</f>
        <v>1663.6434999999999</v>
      </c>
      <c r="DU72" s="319">
        <v>46.85</v>
      </c>
      <c r="DV72" s="320">
        <v>35.51</v>
      </c>
      <c r="DW72" s="187"/>
      <c r="DX72" s="187"/>
      <c r="DY72" s="321"/>
      <c r="DZ72" s="187"/>
      <c r="EA72" s="187"/>
      <c r="EB72" s="321"/>
      <c r="EC72" s="187"/>
      <c r="ED72" s="187"/>
      <c r="EE72" s="321"/>
      <c r="EF72" s="187"/>
      <c r="EG72" s="187"/>
      <c r="EH72" s="321"/>
      <c r="EI72" s="322"/>
      <c r="EJ72" s="322"/>
      <c r="EK72" s="323"/>
      <c r="EL72" s="345">
        <v>43.2</v>
      </c>
      <c r="EM72" s="345">
        <v>2.52</v>
      </c>
      <c r="EN72" s="345">
        <v>5.04</v>
      </c>
      <c r="EO72" s="332">
        <v>1.99</v>
      </c>
      <c r="EP72" s="332">
        <v>2.15</v>
      </c>
      <c r="EQ72" s="332">
        <v>2.88</v>
      </c>
      <c r="ER72" s="332">
        <v>3.04</v>
      </c>
      <c r="ES72" s="332">
        <v>4.0199999999999996</v>
      </c>
      <c r="ET72" s="332">
        <v>5</v>
      </c>
      <c r="EU72" s="332">
        <v>5.04</v>
      </c>
      <c r="EV72" s="332">
        <v>6.05</v>
      </c>
      <c r="EW72" s="332">
        <v>33.35</v>
      </c>
      <c r="EX72" s="332">
        <v>45.46</v>
      </c>
      <c r="EY72" s="332">
        <v>44.85</v>
      </c>
      <c r="EZ72" s="332">
        <v>49.14</v>
      </c>
    </row>
    <row r="73" spans="1:156" ht="26.25" customHeight="1" x14ac:dyDescent="0.3">
      <c r="A73" s="24" t="s">
        <v>43</v>
      </c>
      <c r="B73" s="24" t="s">
        <v>44</v>
      </c>
      <c r="C73" s="1">
        <v>2007</v>
      </c>
      <c r="D73" s="25">
        <v>635</v>
      </c>
      <c r="E73" s="25">
        <v>19</v>
      </c>
      <c r="F73" s="25">
        <v>22</v>
      </c>
      <c r="G73" s="25">
        <f t="shared" si="0"/>
        <v>146.83333333333331</v>
      </c>
      <c r="H73" s="25">
        <f t="shared" si="1"/>
        <v>881</v>
      </c>
      <c r="I73" s="25">
        <v>227</v>
      </c>
      <c r="J73" s="25">
        <v>16</v>
      </c>
      <c r="K73" s="25">
        <v>4</v>
      </c>
      <c r="L73" s="25">
        <f t="shared" si="2"/>
        <v>57.833333333333336</v>
      </c>
      <c r="M73" s="25">
        <f t="shared" si="3"/>
        <v>347</v>
      </c>
      <c r="N73" s="25">
        <f t="shared" si="95"/>
        <v>204.66666666666666</v>
      </c>
      <c r="O73" s="25">
        <f t="shared" si="95"/>
        <v>1228</v>
      </c>
      <c r="P73" s="26">
        <f t="shared" si="5"/>
        <v>0.71742671009771986</v>
      </c>
      <c r="Q73" s="26">
        <f t="shared" si="306"/>
        <v>0.72077185017026102</v>
      </c>
      <c r="R73" s="26">
        <f t="shared" si="12"/>
        <v>0.12939841089670831</v>
      </c>
      <c r="S73" s="26">
        <f t="shared" si="13"/>
        <v>0.14982973893303067</v>
      </c>
      <c r="T73" s="207">
        <v>22</v>
      </c>
      <c r="U73" s="207">
        <v>38</v>
      </c>
      <c r="V73" s="207">
        <v>1400</v>
      </c>
      <c r="W73" s="25">
        <f t="shared" ref="W73:W80" si="308">+T73*6+U73*6+V73</f>
        <v>1760</v>
      </c>
      <c r="X73" s="25"/>
      <c r="Y73" s="25">
        <f>+T73+U73+V73/6</f>
        <v>293.33333333333337</v>
      </c>
      <c r="Z73" s="25"/>
      <c r="AA73" s="25"/>
      <c r="AB73" s="27"/>
      <c r="AC73" s="28">
        <f>119+174</f>
        <v>293</v>
      </c>
      <c r="AD73" s="28">
        <v>1133</v>
      </c>
      <c r="AE73" s="28">
        <v>10</v>
      </c>
      <c r="AF73" s="28">
        <v>0</v>
      </c>
      <c r="AG73" s="29">
        <f>SUM(AC73:AF73)</f>
        <v>1436</v>
      </c>
      <c r="AH73" s="28">
        <f>4+6</f>
        <v>10</v>
      </c>
      <c r="AI73" s="28">
        <v>9</v>
      </c>
      <c r="AJ73" s="28">
        <v>1</v>
      </c>
      <c r="AK73" s="28">
        <v>0</v>
      </c>
      <c r="AL73" s="29">
        <f t="shared" si="307"/>
        <v>20</v>
      </c>
      <c r="AM73" s="28">
        <f>5+21</f>
        <v>26</v>
      </c>
      <c r="AN73" s="28">
        <v>45</v>
      </c>
      <c r="AO73" s="28">
        <v>0</v>
      </c>
      <c r="AP73" s="28">
        <v>0</v>
      </c>
      <c r="AQ73" s="29">
        <f>SUM(AM73:AP73)</f>
        <v>71</v>
      </c>
      <c r="AR73" s="29">
        <f t="shared" si="9"/>
        <v>1982</v>
      </c>
      <c r="AS73" s="29">
        <f t="shared" si="10"/>
        <v>330.33333333333337</v>
      </c>
      <c r="AT73" s="30">
        <v>156</v>
      </c>
      <c r="AU73" s="30">
        <v>3</v>
      </c>
      <c r="AV73" s="30">
        <v>569</v>
      </c>
      <c r="AW73" s="30">
        <v>3542</v>
      </c>
      <c r="AX73" s="31">
        <f t="shared" si="164"/>
        <v>4270</v>
      </c>
      <c r="AY73" s="25"/>
      <c r="AZ73" s="25"/>
      <c r="BA73" s="25"/>
      <c r="BB73" s="31"/>
      <c r="BC73" s="31"/>
      <c r="BD73" s="27" t="s">
        <v>45</v>
      </c>
      <c r="BE73" s="32"/>
      <c r="BF73" s="33"/>
      <c r="BG73" s="34"/>
      <c r="BH73" s="32"/>
      <c r="BI73" s="33"/>
      <c r="BJ73" s="34"/>
      <c r="BK73" s="47"/>
      <c r="BL73" s="33"/>
      <c r="BM73" s="34"/>
      <c r="BN73" s="32"/>
      <c r="BO73" s="33"/>
      <c r="BP73" s="34"/>
      <c r="BQ73" s="32"/>
      <c r="BR73" s="34">
        <v>0</v>
      </c>
      <c r="BS73" s="34">
        <v>0</v>
      </c>
      <c r="BT73" s="34"/>
      <c r="BU73" s="35"/>
      <c r="BV73" s="31"/>
      <c r="BW73" s="31"/>
      <c r="BX73" s="27"/>
      <c r="BY73" s="88"/>
      <c r="BZ73" s="36"/>
      <c r="CA73" s="36"/>
      <c r="CB73" s="36"/>
      <c r="CC73" s="36"/>
      <c r="CD73" s="36"/>
      <c r="CE73" s="36"/>
      <c r="CF73" s="36"/>
      <c r="CG73" s="36"/>
      <c r="CH73" s="36"/>
      <c r="CI73" s="36"/>
      <c r="CJ73" s="36"/>
      <c r="CK73" s="36"/>
      <c r="CL73" s="37">
        <v>4</v>
      </c>
      <c r="CM73" s="37"/>
      <c r="CN73" s="37"/>
      <c r="CO73" s="37"/>
      <c r="CP73" s="327"/>
      <c r="CQ73" s="327"/>
      <c r="CS73" s="293"/>
      <c r="CT73" s="227"/>
      <c r="CU73" s="227"/>
      <c r="CV73" s="227"/>
      <c r="CW73" s="227"/>
      <c r="CX73" s="227"/>
      <c r="CY73" s="227"/>
      <c r="CZ73" s="227"/>
      <c r="DA73" s="227"/>
      <c r="DB73" s="227"/>
      <c r="DC73" s="227"/>
      <c r="DD73" s="227"/>
      <c r="DE73" s="275"/>
      <c r="DF73" s="275"/>
      <c r="DG73" s="275"/>
      <c r="DH73" s="226"/>
      <c r="DI73" s="226"/>
      <c r="DJ73" s="226"/>
      <c r="DK73" s="226"/>
      <c r="DL73" s="226"/>
      <c r="DM73" s="226"/>
      <c r="DN73" s="226"/>
      <c r="DO73" s="226"/>
      <c r="DP73" s="226"/>
      <c r="DQ73" s="226"/>
      <c r="DR73" s="226"/>
      <c r="DS73" s="226"/>
      <c r="DT73" s="278"/>
      <c r="DU73" s="278"/>
      <c r="DV73" s="278"/>
      <c r="DW73" s="280"/>
      <c r="DX73" s="280"/>
      <c r="DY73" s="280"/>
      <c r="DZ73" s="280"/>
      <c r="EA73" s="280"/>
      <c r="EB73" s="280"/>
      <c r="EC73" s="280"/>
      <c r="ED73" s="280"/>
      <c r="EE73" s="280"/>
      <c r="EF73" s="280"/>
      <c r="EG73" s="280"/>
      <c r="EH73" s="280"/>
      <c r="EI73" s="283"/>
      <c r="EJ73" s="283"/>
      <c r="EK73" s="294"/>
      <c r="EL73" s="343">
        <v>72.34</v>
      </c>
      <c r="EM73" s="343">
        <v>6.97</v>
      </c>
      <c r="EN73" s="343">
        <v>12.91</v>
      </c>
      <c r="EO73" s="116"/>
      <c r="EP73" s="116"/>
      <c r="EQ73" s="116"/>
      <c r="ER73" s="116"/>
      <c r="ES73" s="116"/>
      <c r="ET73" s="116"/>
      <c r="EU73" s="116"/>
      <c r="EV73" s="116"/>
      <c r="EW73" s="116"/>
      <c r="EX73" s="116"/>
      <c r="EY73" s="116"/>
      <c r="EZ73" s="116"/>
    </row>
    <row r="74" spans="1:156" ht="26.25" customHeight="1" x14ac:dyDescent="0.3">
      <c r="A74" s="24" t="s">
        <v>43</v>
      </c>
      <c r="B74" s="24" t="s">
        <v>44</v>
      </c>
      <c r="C74" s="1">
        <v>2008</v>
      </c>
      <c r="D74" s="25">
        <v>726</v>
      </c>
      <c r="E74" s="25">
        <v>17</v>
      </c>
      <c r="F74" s="25">
        <v>24</v>
      </c>
      <c r="G74" s="25">
        <f t="shared" si="0"/>
        <v>162</v>
      </c>
      <c r="H74" s="25">
        <f t="shared" si="1"/>
        <v>972</v>
      </c>
      <c r="I74" s="25">
        <v>212</v>
      </c>
      <c r="J74" s="25">
        <v>22</v>
      </c>
      <c r="K74" s="25">
        <v>4</v>
      </c>
      <c r="L74" s="25">
        <f t="shared" si="2"/>
        <v>61.333333333333336</v>
      </c>
      <c r="M74" s="25">
        <f t="shared" si="3"/>
        <v>368</v>
      </c>
      <c r="N74" s="25">
        <f t="shared" ref="N74:O159" si="309">G74+L74</f>
        <v>223.33333333333334</v>
      </c>
      <c r="O74" s="25">
        <f t="shared" si="309"/>
        <v>1340</v>
      </c>
      <c r="P74" s="26">
        <f t="shared" si="5"/>
        <v>0.72537313432835826</v>
      </c>
      <c r="Q74" s="26">
        <f t="shared" si="306"/>
        <v>0.74691358024691357</v>
      </c>
      <c r="R74" s="26">
        <f t="shared" si="12"/>
        <v>0.10493827160493827</v>
      </c>
      <c r="S74" s="26">
        <f t="shared" si="13"/>
        <v>0.14814814814814814</v>
      </c>
      <c r="T74" s="207">
        <v>34</v>
      </c>
      <c r="U74" s="207">
        <v>56</v>
      </c>
      <c r="V74" s="207">
        <v>1688</v>
      </c>
      <c r="W74" s="25">
        <f t="shared" si="308"/>
        <v>2228</v>
      </c>
      <c r="X74" s="25">
        <f t="shared" ref="X74:X82" si="310">W74-W73</f>
        <v>468</v>
      </c>
      <c r="Y74" s="25">
        <f t="shared" ref="Y74:Y81" si="311">+T74+U74+V74/6</f>
        <v>371.33333333333331</v>
      </c>
      <c r="Z74" s="25">
        <f t="shared" ref="Z74:Z82" si="312">Y74-Y73</f>
        <v>77.999999999999943</v>
      </c>
      <c r="AA74" s="204">
        <f>+Z74/Y73</f>
        <v>0.26590909090909071</v>
      </c>
      <c r="AB74" s="27"/>
      <c r="AC74" s="28">
        <f>106-369</f>
        <v>-263</v>
      </c>
      <c r="AD74" s="28">
        <v>1966</v>
      </c>
      <c r="AE74" s="28">
        <v>250</v>
      </c>
      <c r="AF74" s="28">
        <v>0</v>
      </c>
      <c r="AG74" s="29">
        <f t="shared" si="17"/>
        <v>1953</v>
      </c>
      <c r="AH74" s="28">
        <f>5-20</f>
        <v>-15</v>
      </c>
      <c r="AI74" s="28">
        <v>12</v>
      </c>
      <c r="AJ74" s="28">
        <v>18</v>
      </c>
      <c r="AK74" s="28">
        <v>0</v>
      </c>
      <c r="AL74" s="29">
        <f t="shared" si="307"/>
        <v>15</v>
      </c>
      <c r="AM74" s="28">
        <f>6-18</f>
        <v>-12</v>
      </c>
      <c r="AN74" s="28">
        <v>65</v>
      </c>
      <c r="AO74" s="28">
        <v>6</v>
      </c>
      <c r="AP74" s="28">
        <v>0</v>
      </c>
      <c r="AQ74" s="29">
        <f t="shared" ref="AQ74:AQ79" si="313">SUM(AM74:AP74)</f>
        <v>59</v>
      </c>
      <c r="AR74" s="29">
        <f t="shared" si="9"/>
        <v>2397</v>
      </c>
      <c r="AS74" s="29">
        <f t="shared" si="10"/>
        <v>399.5</v>
      </c>
      <c r="AT74" s="30">
        <v>1411</v>
      </c>
      <c r="AU74" s="30">
        <v>822</v>
      </c>
      <c r="AV74" s="30">
        <v>844</v>
      </c>
      <c r="AW74" s="30">
        <v>4733</v>
      </c>
      <c r="AX74" s="31">
        <f t="shared" si="164"/>
        <v>7810</v>
      </c>
      <c r="AY74" s="25"/>
      <c r="AZ74" s="25"/>
      <c r="BA74" s="25"/>
      <c r="BC74" s="31"/>
      <c r="BD74" s="27" t="s">
        <v>45</v>
      </c>
      <c r="BE74" s="32"/>
      <c r="BF74" s="33"/>
      <c r="BG74" s="34"/>
      <c r="BH74" s="32"/>
      <c r="BI74" s="33"/>
      <c r="BJ74" s="34"/>
      <c r="BK74" s="32"/>
      <c r="BL74" s="33"/>
      <c r="BM74" s="34"/>
      <c r="BN74" s="32"/>
      <c r="BO74" s="33"/>
      <c r="BP74" s="34"/>
      <c r="BQ74" s="32"/>
      <c r="BR74" s="57">
        <v>0</v>
      </c>
      <c r="BS74" s="57">
        <v>0</v>
      </c>
      <c r="BT74" s="57"/>
      <c r="BU74" s="35"/>
      <c r="BV74" s="31"/>
      <c r="BW74" s="31"/>
      <c r="BX74" s="27"/>
      <c r="BY74" s="88"/>
      <c r="BZ74" s="38"/>
      <c r="CA74" s="36"/>
      <c r="CB74" s="38"/>
      <c r="CC74" s="36"/>
      <c r="CD74" s="36"/>
      <c r="CE74" s="36"/>
      <c r="CF74" s="89"/>
      <c r="CG74" s="36"/>
      <c r="CH74" s="36"/>
      <c r="CI74" s="36"/>
      <c r="CJ74" s="36"/>
      <c r="CK74" s="36"/>
      <c r="CL74" s="37">
        <v>4</v>
      </c>
      <c r="CM74" s="37"/>
      <c r="CN74" s="38"/>
      <c r="CO74" s="38"/>
      <c r="CP74" s="327"/>
      <c r="CQ74" s="327"/>
      <c r="CS74" s="271"/>
      <c r="CT74" s="133"/>
      <c r="CU74" s="133"/>
      <c r="CV74" s="133"/>
      <c r="CW74" s="133"/>
      <c r="CX74" s="133"/>
      <c r="CY74" s="133"/>
      <c r="CZ74" s="133"/>
      <c r="DA74" s="133"/>
      <c r="DB74" s="133"/>
      <c r="DC74" s="133"/>
      <c r="DD74" s="133"/>
      <c r="DE74" s="273"/>
      <c r="DF74" s="273"/>
      <c r="DG74" s="273"/>
      <c r="DH74" s="132"/>
      <c r="DI74" s="132"/>
      <c r="DJ74" s="132"/>
      <c r="DK74" s="132"/>
      <c r="DL74" s="132"/>
      <c r="DM74" s="132"/>
      <c r="DN74" s="132"/>
      <c r="DO74" s="132"/>
      <c r="DP74" s="132"/>
      <c r="DQ74" s="132"/>
      <c r="DR74" s="132"/>
      <c r="DS74" s="132"/>
      <c r="DT74" s="276"/>
      <c r="DU74" s="276"/>
      <c r="DV74" s="276"/>
      <c r="DW74" s="279"/>
      <c r="DX74" s="279"/>
      <c r="DY74" s="279"/>
      <c r="DZ74" s="279"/>
      <c r="EA74" s="279"/>
      <c r="EB74" s="279"/>
      <c r="EC74" s="279"/>
      <c r="ED74" s="279"/>
      <c r="EE74" s="279"/>
      <c r="EF74" s="279"/>
      <c r="EG74" s="279"/>
      <c r="EH74" s="279"/>
      <c r="EI74" s="281"/>
      <c r="EJ74" s="281"/>
      <c r="EK74" s="295"/>
      <c r="EL74" s="343">
        <v>99.67</v>
      </c>
      <c r="EM74" s="343">
        <v>8.86</v>
      </c>
      <c r="EN74" s="343">
        <v>15.2</v>
      </c>
      <c r="EO74" s="116"/>
      <c r="EP74" s="116"/>
      <c r="EQ74" s="116"/>
      <c r="ER74" s="116"/>
      <c r="ES74" s="116"/>
      <c r="ET74" s="116"/>
      <c r="EU74" s="116"/>
      <c r="EV74" s="116"/>
      <c r="EW74" s="116"/>
      <c r="EX74" s="116"/>
      <c r="EY74" s="116"/>
      <c r="EZ74" s="116"/>
    </row>
    <row r="75" spans="1:156" ht="26.25" customHeight="1" x14ac:dyDescent="0.3">
      <c r="A75" s="24" t="s">
        <v>43</v>
      </c>
      <c r="B75" s="24" t="s">
        <v>44</v>
      </c>
      <c r="C75" s="1">
        <v>2009</v>
      </c>
      <c r="D75" s="25">
        <v>743</v>
      </c>
      <c r="E75" s="25">
        <v>17</v>
      </c>
      <c r="F75" s="25">
        <v>26</v>
      </c>
      <c r="G75" s="25">
        <f t="shared" si="0"/>
        <v>166.83333333333331</v>
      </c>
      <c r="H75" s="25">
        <f t="shared" si="1"/>
        <v>1001</v>
      </c>
      <c r="I75" s="25">
        <v>223</v>
      </c>
      <c r="J75" s="25">
        <v>25</v>
      </c>
      <c r="K75" s="25">
        <v>4</v>
      </c>
      <c r="L75" s="25">
        <f t="shared" si="2"/>
        <v>66.166666666666657</v>
      </c>
      <c r="M75" s="25">
        <f t="shared" si="3"/>
        <v>397</v>
      </c>
      <c r="N75" s="25">
        <f t="shared" si="309"/>
        <v>232.99999999999997</v>
      </c>
      <c r="O75" s="25">
        <f t="shared" si="309"/>
        <v>1398</v>
      </c>
      <c r="P75" s="26">
        <f t="shared" si="5"/>
        <v>0.71602288984263229</v>
      </c>
      <c r="Q75" s="26">
        <f t="shared" si="306"/>
        <v>0.74225774225774221</v>
      </c>
      <c r="R75" s="26">
        <f t="shared" si="12"/>
        <v>0.1018981018981019</v>
      </c>
      <c r="S75" s="26">
        <f t="shared" si="13"/>
        <v>0.15584415584415587</v>
      </c>
      <c r="T75" s="207">
        <v>32</v>
      </c>
      <c r="U75" s="207">
        <v>93</v>
      </c>
      <c r="V75" s="207">
        <v>1837</v>
      </c>
      <c r="W75" s="25">
        <f t="shared" si="308"/>
        <v>2587</v>
      </c>
      <c r="X75" s="25">
        <f t="shared" si="310"/>
        <v>359</v>
      </c>
      <c r="Y75" s="25">
        <f t="shared" si="311"/>
        <v>431.16666666666669</v>
      </c>
      <c r="Z75" s="25">
        <f t="shared" si="312"/>
        <v>59.833333333333371</v>
      </c>
      <c r="AA75" s="204">
        <f>+Z75/Y74</f>
        <v>0.16113105924596061</v>
      </c>
      <c r="AB75" s="27"/>
      <c r="AC75" s="28">
        <f>57-665</f>
        <v>-608</v>
      </c>
      <c r="AD75" s="28">
        <v>1451</v>
      </c>
      <c r="AE75" s="28">
        <v>1</v>
      </c>
      <c r="AF75" s="28">
        <v>0</v>
      </c>
      <c r="AG75" s="29">
        <f t="shared" si="17"/>
        <v>844</v>
      </c>
      <c r="AH75" s="28">
        <f>11+1</f>
        <v>12</v>
      </c>
      <c r="AI75" s="28">
        <v>11</v>
      </c>
      <c r="AJ75" s="28">
        <v>0</v>
      </c>
      <c r="AK75" s="28">
        <v>0</v>
      </c>
      <c r="AL75" s="29">
        <f t="shared" si="307"/>
        <v>23</v>
      </c>
      <c r="AM75" s="28">
        <f>37-11</f>
        <v>26</v>
      </c>
      <c r="AN75" s="28">
        <v>70</v>
      </c>
      <c r="AO75" s="28">
        <v>0</v>
      </c>
      <c r="AP75" s="28">
        <v>0</v>
      </c>
      <c r="AQ75" s="29">
        <f t="shared" si="313"/>
        <v>96</v>
      </c>
      <c r="AR75" s="29">
        <f t="shared" si="9"/>
        <v>1558</v>
      </c>
      <c r="AS75" s="29">
        <f t="shared" si="10"/>
        <v>259.66666666666663</v>
      </c>
      <c r="AT75" s="30">
        <v>63</v>
      </c>
      <c r="AU75" s="30">
        <v>17</v>
      </c>
      <c r="AV75" s="30">
        <v>382</v>
      </c>
      <c r="AW75" s="30">
        <v>2548</v>
      </c>
      <c r="AX75" s="31">
        <f t="shared" si="164"/>
        <v>3010</v>
      </c>
      <c r="AY75" s="25">
        <f t="shared" ref="AY75:AY80" si="314">SUM(AX73:AX75)</f>
        <v>15090</v>
      </c>
      <c r="AZ75" s="25">
        <f t="shared" ref="AZ75:AZ81" si="315">SUM(AS73:AS75)</f>
        <v>989.5</v>
      </c>
      <c r="BA75" s="25">
        <f t="shared" ref="BA75:BA81" si="316">SUM(AR73:AR75)</f>
        <v>5937</v>
      </c>
      <c r="BB75" s="31">
        <f t="shared" ref="BB75:BB80" si="317">AY75/AZ75</f>
        <v>15.250126326427489</v>
      </c>
      <c r="BC75" s="31">
        <f t="shared" ref="BC75:BC80" si="318">AY75/BA75</f>
        <v>2.5416877210712481</v>
      </c>
      <c r="BD75" s="27" t="s">
        <v>45</v>
      </c>
      <c r="BE75" s="32">
        <v>997</v>
      </c>
      <c r="BF75" s="34">
        <v>0</v>
      </c>
      <c r="BG75" s="34">
        <v>145</v>
      </c>
      <c r="BH75" s="32">
        <f>IF(BG75=0,BF75*$BT75,BG75)</f>
        <v>145</v>
      </c>
      <c r="BI75" s="34">
        <v>68</v>
      </c>
      <c r="BJ75" s="34">
        <v>0</v>
      </c>
      <c r="BK75" s="32">
        <f>IF(BJ75=0,BI75*$BT75,BJ75)</f>
        <v>38.901877347293407</v>
      </c>
      <c r="BL75" s="34">
        <v>0</v>
      </c>
      <c r="BM75" s="34">
        <v>258</v>
      </c>
      <c r="BN75" s="32">
        <f>IF(BM75=0,BL75*$BT75,BM75)</f>
        <v>258</v>
      </c>
      <c r="BO75" s="34">
        <v>437</v>
      </c>
      <c r="BP75" s="34">
        <v>0</v>
      </c>
      <c r="BQ75" s="32">
        <f>IF(BP75=0,BO75*$BT75,BP75)</f>
        <v>250.00177059951793</v>
      </c>
      <c r="BR75" s="34">
        <v>6097</v>
      </c>
      <c r="BS75" s="34">
        <v>7631</v>
      </c>
      <c r="BT75" s="201">
        <f t="shared" ref="BT75:BT81" si="319">+P75*BR75/BS75</f>
        <v>0.57208643157784422</v>
      </c>
      <c r="BU75" s="35">
        <f t="shared" ref="BU75:BU82" si="320">BQ75+BN75+BK75+BH75+BE75</f>
        <v>1688.9036479468114</v>
      </c>
      <c r="BV75" s="31">
        <f t="shared" ref="BV75:BV82" si="321">BU75/G75</f>
        <v>10.123298589091778</v>
      </c>
      <c r="BW75" s="31">
        <f t="shared" ref="BW75:BW82" si="322">BU75/H75</f>
        <v>1.687216431515296</v>
      </c>
      <c r="BX75" s="27" t="s">
        <v>46</v>
      </c>
      <c r="BY75" s="90">
        <f t="shared" ref="BY75:BY82" si="323">BU75+AX75</f>
        <v>4698.9036479468114</v>
      </c>
      <c r="BZ75" s="38">
        <f t="shared" ref="BZ75:BZ80" si="324">(BY75*0.1)</f>
        <v>469.89036479468115</v>
      </c>
      <c r="CA75" s="140">
        <f t="shared" ref="CA75:CA82" si="325">+BZ75/AX75</f>
        <v>0.15610975574574124</v>
      </c>
      <c r="CB75" s="38">
        <f t="shared" ref="CB75:CB82" si="326">BZ75/G75</f>
        <v>2.8165256631049824</v>
      </c>
      <c r="CC75" s="38">
        <f t="shared" ref="CC75:CC82" si="327">BZ75/H75</f>
        <v>0.46942094385083033</v>
      </c>
      <c r="CD75" s="38">
        <f t="shared" ref="CD75:CE81" si="328">+$AX75/G75</f>
        <v>18.041958041958043</v>
      </c>
      <c r="CE75" s="38">
        <f t="shared" si="328"/>
        <v>3.0069930069930071</v>
      </c>
      <c r="CF75" s="38">
        <f t="shared" ref="CF75:CF82" si="329">BB75+BV75</f>
        <v>25.373424915519266</v>
      </c>
      <c r="CG75" s="38">
        <f t="shared" ref="CG75:CG80" si="330">CB75+CF75</f>
        <v>28.189950578624249</v>
      </c>
      <c r="CH75" s="38">
        <f t="shared" ref="CH75:CH80" si="331">CF75+CD75</f>
        <v>43.415382957477306</v>
      </c>
      <c r="CI75" s="38">
        <f t="shared" ref="CI75:CI82" si="332">+BC75+BW75</f>
        <v>4.2289041525865443</v>
      </c>
      <c r="CJ75" s="38">
        <f t="shared" ref="CJ75:CJ80" si="333">+CI75+CC75</f>
        <v>4.6983250964373742</v>
      </c>
      <c r="CK75" s="38">
        <f t="shared" ref="CK75:CK80" si="334">+CI75+CE75</f>
        <v>7.2358971595795509</v>
      </c>
      <c r="CL75" s="37">
        <v>4</v>
      </c>
      <c r="CM75" s="38">
        <f t="shared" ref="CM75:CM82" si="335">+CF75/10</f>
        <v>2.5373424915519265</v>
      </c>
      <c r="CN75" s="38">
        <f t="shared" ref="CN75:CN82" si="336">+CM75*G75</f>
        <v>423.31330567391302</v>
      </c>
      <c r="CO75" s="145">
        <f t="shared" ref="CO75:CO82" si="337">+CN75/AX75</f>
        <v>0.14063564972555251</v>
      </c>
      <c r="CP75" s="62"/>
      <c r="CQ75" s="327">
        <v>3434</v>
      </c>
      <c r="CS75" s="271"/>
      <c r="CT75" s="133"/>
      <c r="CU75" s="133"/>
      <c r="CV75" s="133"/>
      <c r="CW75" s="133"/>
      <c r="CX75" s="133"/>
      <c r="CY75" s="133"/>
      <c r="CZ75" s="133"/>
      <c r="DA75" s="133"/>
      <c r="DB75" s="133"/>
      <c r="DC75" s="133"/>
      <c r="DD75" s="133"/>
      <c r="DE75" s="273"/>
      <c r="DF75" s="273"/>
      <c r="DG75" s="273"/>
      <c r="DH75" s="132"/>
      <c r="DI75" s="132"/>
      <c r="DJ75" s="132"/>
      <c r="DK75" s="132"/>
      <c r="DL75" s="132"/>
      <c r="DM75" s="132"/>
      <c r="DN75" s="132"/>
      <c r="DO75" s="132"/>
      <c r="DP75" s="132"/>
      <c r="DQ75" s="132"/>
      <c r="DR75" s="132"/>
      <c r="DS75" s="132"/>
      <c r="DT75" s="276"/>
      <c r="DU75" s="276"/>
      <c r="DV75" s="276"/>
      <c r="DW75" s="279"/>
      <c r="DX75" s="279"/>
      <c r="DY75" s="279"/>
      <c r="DZ75" s="279"/>
      <c r="EA75" s="279"/>
      <c r="EB75" s="279"/>
      <c r="EC75" s="279"/>
      <c r="ED75" s="279"/>
      <c r="EE75" s="279"/>
      <c r="EF75" s="279"/>
      <c r="EG75" s="279"/>
      <c r="EH75" s="279"/>
      <c r="EI75" s="281"/>
      <c r="EJ75" s="281"/>
      <c r="EK75" s="295"/>
      <c r="EL75" s="343">
        <v>61.95</v>
      </c>
      <c r="EM75" s="343">
        <v>3.94</v>
      </c>
      <c r="EN75" s="343">
        <v>8.99</v>
      </c>
      <c r="EO75" s="116"/>
      <c r="EP75" s="116"/>
      <c r="EQ75" s="116"/>
      <c r="ER75" s="116"/>
      <c r="ES75" s="116"/>
      <c r="ET75" s="116"/>
      <c r="EU75" s="116"/>
      <c r="EV75" s="116"/>
      <c r="EW75" s="116"/>
      <c r="EX75" s="116"/>
      <c r="EY75" s="116"/>
      <c r="EZ75" s="116"/>
    </row>
    <row r="76" spans="1:156" ht="26.25" customHeight="1" x14ac:dyDescent="0.3">
      <c r="A76" s="24" t="s">
        <v>43</v>
      </c>
      <c r="B76" s="24" t="s">
        <v>44</v>
      </c>
      <c r="C76" s="1">
        <v>2010</v>
      </c>
      <c r="D76" s="25">
        <v>716</v>
      </c>
      <c r="E76" s="25">
        <v>16</v>
      </c>
      <c r="F76" s="25">
        <v>28</v>
      </c>
      <c r="G76" s="25">
        <f t="shared" si="0"/>
        <v>163.33333333333331</v>
      </c>
      <c r="H76" s="25">
        <f t="shared" si="1"/>
        <v>980</v>
      </c>
      <c r="I76" s="25">
        <v>214</v>
      </c>
      <c r="J76" s="25">
        <f>16+9</f>
        <v>25</v>
      </c>
      <c r="K76" s="25">
        <v>4</v>
      </c>
      <c r="L76" s="25">
        <f t="shared" si="2"/>
        <v>64.666666666666657</v>
      </c>
      <c r="M76" s="25">
        <f t="shared" si="3"/>
        <v>388</v>
      </c>
      <c r="N76" s="25">
        <f t="shared" si="309"/>
        <v>227.99999999999997</v>
      </c>
      <c r="O76" s="25">
        <f t="shared" si="309"/>
        <v>1368</v>
      </c>
      <c r="P76" s="26">
        <f t="shared" si="5"/>
        <v>0.716374269005848</v>
      </c>
      <c r="Q76" s="26">
        <f t="shared" si="306"/>
        <v>0.73061224489795917</v>
      </c>
      <c r="R76" s="26">
        <f t="shared" si="12"/>
        <v>9.7959183673469397E-2</v>
      </c>
      <c r="S76" s="26">
        <f t="shared" si="13"/>
        <v>0.17142857142857146</v>
      </c>
      <c r="T76" s="207">
        <v>17</v>
      </c>
      <c r="U76" s="207">
        <v>96</v>
      </c>
      <c r="V76" s="207">
        <v>1785</v>
      </c>
      <c r="W76" s="25">
        <f t="shared" si="308"/>
        <v>2463</v>
      </c>
      <c r="X76" s="25">
        <f t="shared" si="310"/>
        <v>-124</v>
      </c>
      <c r="Y76" s="25">
        <f t="shared" si="311"/>
        <v>410.5</v>
      </c>
      <c r="Z76" s="25">
        <f t="shared" si="312"/>
        <v>-20.666666666666686</v>
      </c>
      <c r="AA76" s="204">
        <f t="shared" ref="AA76:AA82" si="338">+Z76/Y75</f>
        <v>-4.7931967529957521E-2</v>
      </c>
      <c r="AB76" s="27"/>
      <c r="AC76" s="28">
        <f>451+79</f>
        <v>530</v>
      </c>
      <c r="AD76" s="28">
        <v>1095</v>
      </c>
      <c r="AE76" s="28">
        <v>12</v>
      </c>
      <c r="AF76" s="28">
        <v>0</v>
      </c>
      <c r="AG76" s="29">
        <f t="shared" si="17"/>
        <v>1637</v>
      </c>
      <c r="AH76" s="28">
        <f>5+4</f>
        <v>9</v>
      </c>
      <c r="AI76" s="28">
        <v>20</v>
      </c>
      <c r="AJ76" s="28">
        <v>0</v>
      </c>
      <c r="AK76" s="28">
        <v>0</v>
      </c>
      <c r="AL76" s="29">
        <f t="shared" si="307"/>
        <v>29</v>
      </c>
      <c r="AM76" s="28">
        <f>14+16</f>
        <v>30</v>
      </c>
      <c r="AN76" s="28">
        <v>68</v>
      </c>
      <c r="AO76" s="28">
        <v>0</v>
      </c>
      <c r="AP76" s="28">
        <v>0</v>
      </c>
      <c r="AQ76" s="29">
        <f t="shared" si="313"/>
        <v>98</v>
      </c>
      <c r="AR76" s="29">
        <f t="shared" si="9"/>
        <v>2399</v>
      </c>
      <c r="AS76" s="29">
        <f t="shared" si="10"/>
        <v>399.83333333333331</v>
      </c>
      <c r="AT76" s="30">
        <v>594</v>
      </c>
      <c r="AU76" s="30">
        <v>29</v>
      </c>
      <c r="AV76" s="30">
        <v>428</v>
      </c>
      <c r="AW76" s="30">
        <v>3423</v>
      </c>
      <c r="AX76" s="31">
        <f t="shared" si="164"/>
        <v>4474</v>
      </c>
      <c r="AY76" s="25">
        <f t="shared" si="314"/>
        <v>15294</v>
      </c>
      <c r="AZ76" s="25">
        <f t="shared" si="315"/>
        <v>1059</v>
      </c>
      <c r="BA76" s="25">
        <f t="shared" si="316"/>
        <v>6354</v>
      </c>
      <c r="BB76" s="31">
        <f t="shared" si="317"/>
        <v>14.441926345609065</v>
      </c>
      <c r="BC76" s="31">
        <f t="shared" si="318"/>
        <v>2.4069877242681774</v>
      </c>
      <c r="BD76" s="27" t="s">
        <v>45</v>
      </c>
      <c r="BE76" s="32">
        <v>892</v>
      </c>
      <c r="BF76" s="34">
        <v>0</v>
      </c>
      <c r="BG76" s="34">
        <v>133</v>
      </c>
      <c r="BH76" s="32">
        <f t="shared" ref="BH76:BH81" si="339">IF(BG76=0,BF76*$BT76,BG76)</f>
        <v>133</v>
      </c>
      <c r="BI76" s="34">
        <v>955</v>
      </c>
      <c r="BJ76" s="34">
        <v>0</v>
      </c>
      <c r="BK76" s="32">
        <f t="shared" ref="BK76:BK81" si="340">IF(BJ76=0,BI76*$BT76,BJ76)</f>
        <v>544.22236763632895</v>
      </c>
      <c r="BL76" s="34">
        <v>0</v>
      </c>
      <c r="BM76" s="34">
        <v>319</v>
      </c>
      <c r="BN76" s="32">
        <f t="shared" ref="BN76:BN81" si="341">IF(BM76=0,BL76*$BT76,BM76)</f>
        <v>319</v>
      </c>
      <c r="BO76" s="34">
        <v>408</v>
      </c>
      <c r="BP76" s="34">
        <v>0</v>
      </c>
      <c r="BQ76" s="32">
        <f t="shared" ref="BQ76:BQ81" si="342">IF(BP76=0,BO76*$BT76,BP76)</f>
        <v>232.50547224672485</v>
      </c>
      <c r="BR76" s="34">
        <v>7262</v>
      </c>
      <c r="BS76" s="34">
        <v>9129</v>
      </c>
      <c r="BT76" s="201">
        <f t="shared" si="319"/>
        <v>0.56986635354589421</v>
      </c>
      <c r="BU76" s="35">
        <f t="shared" si="320"/>
        <v>2120.727839883054</v>
      </c>
      <c r="BV76" s="31">
        <f t="shared" si="321"/>
        <v>12.984047999284005</v>
      </c>
      <c r="BW76" s="31">
        <f t="shared" si="322"/>
        <v>2.1640079998806674</v>
      </c>
      <c r="BX76" s="27" t="s">
        <v>46</v>
      </c>
      <c r="BY76" s="90">
        <f t="shared" si="323"/>
        <v>6594.727839883054</v>
      </c>
      <c r="BZ76" s="38">
        <f t="shared" si="324"/>
        <v>659.47278398830542</v>
      </c>
      <c r="CA76" s="140">
        <f t="shared" si="325"/>
        <v>0.14740115869206649</v>
      </c>
      <c r="CB76" s="38">
        <f t="shared" si="326"/>
        <v>4.0375884733977889</v>
      </c>
      <c r="CC76" s="38">
        <f t="shared" si="327"/>
        <v>0.67293141223296471</v>
      </c>
      <c r="CD76" s="38">
        <f t="shared" si="328"/>
        <v>27.391836734693882</v>
      </c>
      <c r="CE76" s="38">
        <f t="shared" si="328"/>
        <v>4.5653061224489795</v>
      </c>
      <c r="CF76" s="38">
        <f t="shared" si="329"/>
        <v>27.425974344893071</v>
      </c>
      <c r="CG76" s="38">
        <f t="shared" si="330"/>
        <v>31.46356281829086</v>
      </c>
      <c r="CH76" s="38">
        <f t="shared" si="331"/>
        <v>54.817811079586953</v>
      </c>
      <c r="CI76" s="38">
        <f t="shared" si="332"/>
        <v>4.5709957241488448</v>
      </c>
      <c r="CJ76" s="38">
        <f t="shared" si="333"/>
        <v>5.2439271363818092</v>
      </c>
      <c r="CK76" s="38">
        <f t="shared" si="334"/>
        <v>9.1363018465978243</v>
      </c>
      <c r="CL76" s="37">
        <v>4</v>
      </c>
      <c r="CM76" s="38">
        <f t="shared" si="335"/>
        <v>2.7425974344893072</v>
      </c>
      <c r="CN76" s="38">
        <f t="shared" si="336"/>
        <v>447.95758096658676</v>
      </c>
      <c r="CO76" s="145">
        <f t="shared" si="337"/>
        <v>0.10012462694827598</v>
      </c>
      <c r="CP76" s="63"/>
      <c r="CQ76" s="327">
        <v>4078</v>
      </c>
      <c r="CS76" s="271"/>
      <c r="CT76" s="133"/>
      <c r="CU76" s="133"/>
      <c r="CV76" s="133"/>
      <c r="CW76" s="133"/>
      <c r="CX76" s="133"/>
      <c r="CY76" s="133"/>
      <c r="CZ76" s="133"/>
      <c r="DA76" s="133"/>
      <c r="DB76" s="133"/>
      <c r="DC76" s="133"/>
      <c r="DD76" s="133"/>
      <c r="DE76" s="273"/>
      <c r="DF76" s="273"/>
      <c r="DG76" s="273"/>
      <c r="DH76" s="132"/>
      <c r="DI76" s="132"/>
      <c r="DJ76" s="132"/>
      <c r="DK76" s="132"/>
      <c r="DL76" s="132"/>
      <c r="DM76" s="132"/>
      <c r="DN76" s="132"/>
      <c r="DO76" s="132"/>
      <c r="DP76" s="132"/>
      <c r="DQ76" s="132"/>
      <c r="DR76" s="132"/>
      <c r="DS76" s="132"/>
      <c r="DT76" s="276"/>
      <c r="DU76" s="276"/>
      <c r="DV76" s="276"/>
      <c r="DW76" s="279"/>
      <c r="DX76" s="279"/>
      <c r="DY76" s="279"/>
      <c r="DZ76" s="279"/>
      <c r="EA76" s="279"/>
      <c r="EB76" s="279"/>
      <c r="EC76" s="279"/>
      <c r="ED76" s="279"/>
      <c r="EE76" s="279"/>
      <c r="EF76" s="279"/>
      <c r="EG76" s="279"/>
      <c r="EH76" s="279"/>
      <c r="EI76" s="281"/>
      <c r="EJ76" s="281"/>
      <c r="EK76" s="295"/>
      <c r="EL76" s="343">
        <v>79.48</v>
      </c>
      <c r="EM76" s="343">
        <v>4.37</v>
      </c>
      <c r="EN76" s="343">
        <v>11.83</v>
      </c>
      <c r="EO76" s="116"/>
      <c r="EP76" s="116"/>
      <c r="EQ76" s="116"/>
      <c r="ER76" s="116"/>
      <c r="ES76" s="116"/>
      <c r="ET76" s="116"/>
      <c r="EU76" s="116"/>
      <c r="EV76" s="116"/>
      <c r="EW76" s="116"/>
      <c r="EX76" s="116"/>
      <c r="EY76" s="116"/>
      <c r="EZ76" s="116"/>
    </row>
    <row r="77" spans="1:156" ht="26.25" customHeight="1" x14ac:dyDescent="0.3">
      <c r="A77" s="24" t="s">
        <v>43</v>
      </c>
      <c r="B77" s="24" t="s">
        <v>44</v>
      </c>
      <c r="C77" s="1">
        <v>2011</v>
      </c>
      <c r="D77" s="25">
        <v>740</v>
      </c>
      <c r="E77" s="25">
        <v>17</v>
      </c>
      <c r="F77" s="25">
        <v>33</v>
      </c>
      <c r="G77" s="25">
        <f t="shared" si="0"/>
        <v>173.33333333333331</v>
      </c>
      <c r="H77" s="25">
        <f t="shared" si="1"/>
        <v>1040</v>
      </c>
      <c r="I77" s="25">
        <v>213</v>
      </c>
      <c r="J77" s="25">
        <f>15+13</f>
        <v>28</v>
      </c>
      <c r="K77" s="25">
        <v>4</v>
      </c>
      <c r="L77" s="25">
        <f t="shared" si="2"/>
        <v>67.5</v>
      </c>
      <c r="M77" s="25">
        <f t="shared" si="3"/>
        <v>405</v>
      </c>
      <c r="N77" s="25">
        <f t="shared" si="309"/>
        <v>240.83333333333331</v>
      </c>
      <c r="O77" s="25">
        <f t="shared" si="309"/>
        <v>1445</v>
      </c>
      <c r="P77" s="26">
        <f t="shared" si="5"/>
        <v>0.7197231833910035</v>
      </c>
      <c r="Q77" s="26">
        <f t="shared" si="306"/>
        <v>0.71153846153846156</v>
      </c>
      <c r="R77" s="26">
        <f t="shared" si="12"/>
        <v>9.8076923076923089E-2</v>
      </c>
      <c r="S77" s="26">
        <f t="shared" si="13"/>
        <v>0.1903846153846154</v>
      </c>
      <c r="T77" s="207">
        <v>22</v>
      </c>
      <c r="U77" s="207">
        <v>123</v>
      </c>
      <c r="V77" s="207">
        <v>1550</v>
      </c>
      <c r="W77" s="25">
        <f t="shared" si="308"/>
        <v>2420</v>
      </c>
      <c r="X77" s="25">
        <f t="shared" si="310"/>
        <v>-43</v>
      </c>
      <c r="Y77" s="25">
        <f t="shared" si="311"/>
        <v>403.33333333333331</v>
      </c>
      <c r="Z77" s="25">
        <f t="shared" si="312"/>
        <v>-7.1666666666666856</v>
      </c>
      <c r="AA77" s="204">
        <f t="shared" si="338"/>
        <v>-1.7458384084449902E-2</v>
      </c>
      <c r="AB77" s="27"/>
      <c r="AC77" s="28">
        <f>-1-243</f>
        <v>-244</v>
      </c>
      <c r="AD77" s="28">
        <v>1410</v>
      </c>
      <c r="AE77" s="28">
        <v>16</v>
      </c>
      <c r="AF77" s="28">
        <v>0</v>
      </c>
      <c r="AG77" s="29">
        <f t="shared" si="17"/>
        <v>1182</v>
      </c>
      <c r="AH77" s="28">
        <f>2-1</f>
        <v>1</v>
      </c>
      <c r="AI77" s="28">
        <v>36</v>
      </c>
      <c r="AJ77" s="28">
        <v>0</v>
      </c>
      <c r="AK77" s="28">
        <v>0</v>
      </c>
      <c r="AL77" s="29">
        <f t="shared" si="307"/>
        <v>37</v>
      </c>
      <c r="AM77" s="28">
        <f>4+1</f>
        <v>5</v>
      </c>
      <c r="AN77" s="28">
        <v>102</v>
      </c>
      <c r="AO77" s="28">
        <v>2</v>
      </c>
      <c r="AP77" s="28">
        <v>0</v>
      </c>
      <c r="AQ77" s="29">
        <f t="shared" si="313"/>
        <v>109</v>
      </c>
      <c r="AR77" s="29">
        <f t="shared" si="9"/>
        <v>2058</v>
      </c>
      <c r="AS77" s="29">
        <f t="shared" si="10"/>
        <v>343</v>
      </c>
      <c r="AT77" s="30">
        <v>851</v>
      </c>
      <c r="AU77" s="30">
        <v>34</v>
      </c>
      <c r="AV77" s="30">
        <v>272</v>
      </c>
      <c r="AW77" s="30">
        <f>4130-337-45</f>
        <v>3748</v>
      </c>
      <c r="AX77" s="31">
        <f t="shared" si="164"/>
        <v>4905</v>
      </c>
      <c r="AY77" s="25">
        <f t="shared" si="314"/>
        <v>12389</v>
      </c>
      <c r="AZ77" s="25">
        <f t="shared" si="315"/>
        <v>1002.5</v>
      </c>
      <c r="BA77" s="25">
        <f t="shared" si="316"/>
        <v>6015</v>
      </c>
      <c r="BB77" s="31">
        <f t="shared" si="317"/>
        <v>12.358104738154614</v>
      </c>
      <c r="BC77" s="31">
        <f t="shared" si="318"/>
        <v>2.059684123025769</v>
      </c>
      <c r="BD77" s="27" t="s">
        <v>45</v>
      </c>
      <c r="BE77" s="32">
        <v>925</v>
      </c>
      <c r="BF77" s="34">
        <v>0</v>
      </c>
      <c r="BG77" s="34">
        <v>132</v>
      </c>
      <c r="BH77" s="32">
        <f t="shared" si="339"/>
        <v>132</v>
      </c>
      <c r="BI77" s="34">
        <v>-383</v>
      </c>
      <c r="BJ77" s="34">
        <v>0</v>
      </c>
      <c r="BK77" s="32">
        <f t="shared" si="340"/>
        <v>-216.96921974349132</v>
      </c>
      <c r="BL77" s="34">
        <v>0</v>
      </c>
      <c r="BM77" s="34">
        <v>357</v>
      </c>
      <c r="BN77" s="32">
        <f t="shared" si="341"/>
        <v>357</v>
      </c>
      <c r="BO77" s="34">
        <v>414</v>
      </c>
      <c r="BP77" s="34">
        <v>0</v>
      </c>
      <c r="BQ77" s="32">
        <f t="shared" si="342"/>
        <v>234.53069705954414</v>
      </c>
      <c r="BR77" s="34">
        <v>8315</v>
      </c>
      <c r="BS77" s="34">
        <v>10564</v>
      </c>
      <c r="BT77" s="201">
        <f t="shared" si="319"/>
        <v>0.56649926825976848</v>
      </c>
      <c r="BU77" s="35">
        <f t="shared" si="320"/>
        <v>1431.5614773160528</v>
      </c>
      <c r="BV77" s="31">
        <f t="shared" si="321"/>
        <v>8.2590085229772292</v>
      </c>
      <c r="BW77" s="31">
        <f t="shared" si="322"/>
        <v>1.3765014204962045</v>
      </c>
      <c r="BX77" s="27" t="s">
        <v>46</v>
      </c>
      <c r="BY77" s="90">
        <f t="shared" si="323"/>
        <v>6336.5614773160523</v>
      </c>
      <c r="BZ77" s="38">
        <f t="shared" si="324"/>
        <v>633.6561477316053</v>
      </c>
      <c r="CA77" s="140">
        <f t="shared" si="325"/>
        <v>0.12918575896668813</v>
      </c>
      <c r="CB77" s="38">
        <f t="shared" si="326"/>
        <v>3.6557085446054156</v>
      </c>
      <c r="CC77" s="38">
        <f t="shared" si="327"/>
        <v>0.60928475743423582</v>
      </c>
      <c r="CD77" s="38">
        <f t="shared" si="328"/>
        <v>28.298076923076927</v>
      </c>
      <c r="CE77" s="38">
        <f t="shared" si="328"/>
        <v>4.7163461538461542</v>
      </c>
      <c r="CF77" s="38">
        <f t="shared" si="329"/>
        <v>20.617113261131841</v>
      </c>
      <c r="CG77" s="38">
        <f t="shared" si="330"/>
        <v>24.272821805737259</v>
      </c>
      <c r="CH77" s="38">
        <f t="shared" si="331"/>
        <v>48.915190184208768</v>
      </c>
      <c r="CI77" s="38">
        <f t="shared" si="332"/>
        <v>3.4361855435219733</v>
      </c>
      <c r="CJ77" s="38">
        <f t="shared" si="333"/>
        <v>4.0454703009562092</v>
      </c>
      <c r="CK77" s="38">
        <f t="shared" si="334"/>
        <v>8.1525316973681274</v>
      </c>
      <c r="CL77" s="37">
        <v>4</v>
      </c>
      <c r="CM77" s="38">
        <f t="shared" si="335"/>
        <v>2.0617113261131843</v>
      </c>
      <c r="CN77" s="38">
        <f t="shared" si="336"/>
        <v>357.36329652628524</v>
      </c>
      <c r="CO77" s="145">
        <f t="shared" si="337"/>
        <v>7.2856941187825736E-2</v>
      </c>
      <c r="CP77" s="63"/>
      <c r="CQ77" s="327">
        <v>3982</v>
      </c>
      <c r="CS77" s="271"/>
      <c r="CT77" s="133"/>
      <c r="CU77" s="133"/>
      <c r="CV77" s="133"/>
      <c r="CW77" s="133"/>
      <c r="CX77" s="133"/>
      <c r="CY77" s="133"/>
      <c r="CZ77" s="133"/>
      <c r="DA77" s="133"/>
      <c r="DB77" s="133"/>
      <c r="DC77" s="133"/>
      <c r="DD77" s="133"/>
      <c r="DE77" s="273"/>
      <c r="DF77" s="273"/>
      <c r="DG77" s="273"/>
      <c r="DH77" s="132"/>
      <c r="DI77" s="132"/>
      <c r="DJ77" s="132"/>
      <c r="DK77" s="132"/>
      <c r="DL77" s="132"/>
      <c r="DM77" s="132"/>
      <c r="DN77" s="132"/>
      <c r="DO77" s="132"/>
      <c r="DP77" s="132"/>
      <c r="DQ77" s="132"/>
      <c r="DR77" s="132"/>
      <c r="DS77" s="132"/>
      <c r="DT77" s="276"/>
      <c r="DU77" s="276"/>
      <c r="DV77" s="276"/>
      <c r="DW77" s="279"/>
      <c r="DX77" s="279"/>
      <c r="DY77" s="279"/>
      <c r="DZ77" s="279"/>
      <c r="EA77" s="279"/>
      <c r="EB77" s="279"/>
      <c r="EC77" s="279"/>
      <c r="ED77" s="279"/>
      <c r="EE77" s="279"/>
      <c r="EF77" s="279"/>
      <c r="EG77" s="279"/>
      <c r="EH77" s="279"/>
      <c r="EI77" s="281"/>
      <c r="EJ77" s="281"/>
      <c r="EK77" s="295"/>
      <c r="EL77" s="343">
        <v>94.88</v>
      </c>
      <c r="EM77" s="343">
        <v>4</v>
      </c>
      <c r="EN77" s="343">
        <v>15.12</v>
      </c>
      <c r="EO77" s="116"/>
      <c r="EP77" s="116"/>
      <c r="EQ77" s="116"/>
      <c r="ER77" s="116"/>
      <c r="ES77" s="116"/>
      <c r="ET77" s="116"/>
      <c r="EU77" s="116"/>
      <c r="EV77" s="116"/>
      <c r="EW77" s="116"/>
      <c r="EX77" s="116"/>
      <c r="EY77" s="116"/>
      <c r="EZ77" s="116"/>
    </row>
    <row r="78" spans="1:156" ht="26.25" customHeight="1" x14ac:dyDescent="0.3">
      <c r="A78" s="39" t="s">
        <v>43</v>
      </c>
      <c r="B78" s="39" t="s">
        <v>44</v>
      </c>
      <c r="C78" s="22">
        <v>2012</v>
      </c>
      <c r="D78" s="25">
        <v>752</v>
      </c>
      <c r="E78" s="25">
        <v>21</v>
      </c>
      <c r="F78" s="25">
        <v>36</v>
      </c>
      <c r="G78" s="25">
        <f t="shared" si="0"/>
        <v>182.33333333333331</v>
      </c>
      <c r="H78" s="25">
        <f t="shared" si="1"/>
        <v>1094</v>
      </c>
      <c r="I78" s="25">
        <v>186</v>
      </c>
      <c r="J78" s="25">
        <f>15+17</f>
        <v>32</v>
      </c>
      <c r="K78" s="25">
        <v>4</v>
      </c>
      <c r="L78" s="25">
        <f t="shared" si="2"/>
        <v>67</v>
      </c>
      <c r="M78" s="25">
        <f t="shared" si="3"/>
        <v>402</v>
      </c>
      <c r="N78" s="25">
        <f t="shared" si="309"/>
        <v>249.33333333333331</v>
      </c>
      <c r="O78" s="25">
        <f t="shared" si="309"/>
        <v>1496</v>
      </c>
      <c r="P78" s="26">
        <f t="shared" si="5"/>
        <v>0.73128342245989308</v>
      </c>
      <c r="Q78" s="26">
        <f t="shared" si="306"/>
        <v>0.6873857404021938</v>
      </c>
      <c r="R78" s="26">
        <f t="shared" si="12"/>
        <v>0.11517367458866545</v>
      </c>
      <c r="S78" s="26">
        <f t="shared" si="13"/>
        <v>0.1974405850091408</v>
      </c>
      <c r="T78" s="207">
        <v>39</v>
      </c>
      <c r="U78" s="207">
        <v>140</v>
      </c>
      <c r="V78" s="207">
        <v>1371</v>
      </c>
      <c r="W78" s="25">
        <f t="shared" si="308"/>
        <v>2445</v>
      </c>
      <c r="X78" s="25">
        <f t="shared" si="310"/>
        <v>25</v>
      </c>
      <c r="Y78" s="25">
        <f t="shared" si="311"/>
        <v>407.5</v>
      </c>
      <c r="Z78" s="25">
        <f t="shared" si="312"/>
        <v>4.1666666666666856</v>
      </c>
      <c r="AA78" s="204">
        <f t="shared" si="338"/>
        <v>1.0330578512396741E-2</v>
      </c>
      <c r="AB78" s="27"/>
      <c r="AC78" s="28">
        <f>-831-287</f>
        <v>-1118</v>
      </c>
      <c r="AD78" s="28">
        <v>1124</v>
      </c>
      <c r="AE78" s="28">
        <v>2</v>
      </c>
      <c r="AF78" s="28">
        <v>0</v>
      </c>
      <c r="AG78" s="29">
        <f t="shared" si="17"/>
        <v>8</v>
      </c>
      <c r="AH78" s="28">
        <f>-1-6</f>
        <v>-7</v>
      </c>
      <c r="AI78" s="28">
        <v>65</v>
      </c>
      <c r="AJ78" s="28">
        <v>0</v>
      </c>
      <c r="AK78" s="28">
        <v>0</v>
      </c>
      <c r="AL78" s="29">
        <f t="shared" si="307"/>
        <v>58</v>
      </c>
      <c r="AM78" s="28">
        <f>-19-13</f>
        <v>-32</v>
      </c>
      <c r="AN78" s="28">
        <v>114</v>
      </c>
      <c r="AO78" s="28">
        <v>0</v>
      </c>
      <c r="AP78" s="28">
        <v>0</v>
      </c>
      <c r="AQ78" s="29">
        <f t="shared" si="313"/>
        <v>82</v>
      </c>
      <c r="AR78" s="29">
        <f t="shared" si="9"/>
        <v>848</v>
      </c>
      <c r="AS78" s="29">
        <f t="shared" si="10"/>
        <v>141.33333333333334</v>
      </c>
      <c r="AT78" s="30">
        <v>1135</v>
      </c>
      <c r="AU78" s="30">
        <v>2</v>
      </c>
      <c r="AV78" s="30">
        <v>351</v>
      </c>
      <c r="AW78" s="30">
        <f>4408-359-36</f>
        <v>4013</v>
      </c>
      <c r="AX78" s="31">
        <f t="shared" si="164"/>
        <v>5501</v>
      </c>
      <c r="AY78" s="25">
        <f t="shared" si="314"/>
        <v>14880</v>
      </c>
      <c r="AZ78" s="25">
        <f t="shared" si="315"/>
        <v>884.16666666666663</v>
      </c>
      <c r="BA78" s="25">
        <f t="shared" si="316"/>
        <v>5305</v>
      </c>
      <c r="BB78" s="31">
        <f t="shared" si="317"/>
        <v>16.829406220546655</v>
      </c>
      <c r="BC78" s="31">
        <f t="shared" si="318"/>
        <v>2.8049010367577756</v>
      </c>
      <c r="BD78" s="27" t="s">
        <v>45</v>
      </c>
      <c r="BE78" s="40">
        <v>1059</v>
      </c>
      <c r="BF78" s="34">
        <v>0</v>
      </c>
      <c r="BG78" s="34">
        <v>159</v>
      </c>
      <c r="BH78" s="32">
        <f t="shared" si="339"/>
        <v>159</v>
      </c>
      <c r="BI78" s="34">
        <v>100</v>
      </c>
      <c r="BJ78" s="34">
        <v>0</v>
      </c>
      <c r="BK78" s="32">
        <f t="shared" si="340"/>
        <v>59.38771935576311</v>
      </c>
      <c r="BL78" s="34">
        <v>0</v>
      </c>
      <c r="BM78" s="34">
        <v>340</v>
      </c>
      <c r="BN78" s="32">
        <f t="shared" si="341"/>
        <v>340</v>
      </c>
      <c r="BO78" s="34">
        <v>440</v>
      </c>
      <c r="BP78" s="34">
        <v>0</v>
      </c>
      <c r="BQ78" s="32">
        <f t="shared" si="342"/>
        <v>261.30596516535769</v>
      </c>
      <c r="BR78" s="34">
        <v>7153</v>
      </c>
      <c r="BS78" s="34">
        <v>8808</v>
      </c>
      <c r="BT78" s="201">
        <f t="shared" si="319"/>
        <v>0.59387719355763113</v>
      </c>
      <c r="BU78" s="35">
        <f t="shared" si="320"/>
        <v>1878.6936845211208</v>
      </c>
      <c r="BV78" s="31">
        <f t="shared" si="321"/>
        <v>10.303621670134119</v>
      </c>
      <c r="BW78" s="31">
        <f t="shared" si="322"/>
        <v>1.7172702783556864</v>
      </c>
      <c r="BX78" s="27" t="s">
        <v>46</v>
      </c>
      <c r="BY78" s="90">
        <f t="shared" si="323"/>
        <v>7379.6936845211203</v>
      </c>
      <c r="BZ78" s="38">
        <f t="shared" si="324"/>
        <v>737.96936845211212</v>
      </c>
      <c r="CA78" s="140">
        <f t="shared" si="325"/>
        <v>0.13415185756264536</v>
      </c>
      <c r="CB78" s="38">
        <f t="shared" si="326"/>
        <v>4.0473639951669771</v>
      </c>
      <c r="CC78" s="38">
        <f t="shared" si="327"/>
        <v>0.67456066586116281</v>
      </c>
      <c r="CD78" s="38">
        <f t="shared" si="328"/>
        <v>30.170018281535651</v>
      </c>
      <c r="CE78" s="38">
        <f t="shared" si="328"/>
        <v>5.0283363802559418</v>
      </c>
      <c r="CF78" s="38">
        <f t="shared" si="329"/>
        <v>27.133027890680772</v>
      </c>
      <c r="CG78" s="38">
        <f t="shared" si="330"/>
        <v>31.180391885847747</v>
      </c>
      <c r="CH78" s="38">
        <f t="shared" si="331"/>
        <v>57.303046172216426</v>
      </c>
      <c r="CI78" s="38">
        <f t="shared" si="332"/>
        <v>4.5221713151134617</v>
      </c>
      <c r="CJ78" s="38">
        <f t="shared" si="333"/>
        <v>5.1967319809746249</v>
      </c>
      <c r="CK78" s="38">
        <f t="shared" si="334"/>
        <v>9.5505076953694044</v>
      </c>
      <c r="CL78" s="37">
        <v>4</v>
      </c>
      <c r="CM78" s="38">
        <f t="shared" si="335"/>
        <v>2.7133027890680772</v>
      </c>
      <c r="CN78" s="38">
        <f t="shared" si="336"/>
        <v>494.72554187341268</v>
      </c>
      <c r="CO78" s="145">
        <f t="shared" si="337"/>
        <v>8.9933746932087374E-2</v>
      </c>
      <c r="CP78" s="63"/>
      <c r="CQ78" s="327">
        <v>3308</v>
      </c>
      <c r="CS78" s="270">
        <f>+CT78*CU78</f>
        <v>570.936285</v>
      </c>
      <c r="CT78" s="269">
        <f>2.0718*91.25</f>
        <v>189.05175</v>
      </c>
      <c r="CU78" s="133">
        <v>3.02</v>
      </c>
      <c r="CV78" s="269">
        <f>+CW78*CX78</f>
        <v>497.634795</v>
      </c>
      <c r="CW78" s="269">
        <f>2.0502*91.25</f>
        <v>187.08074999999999</v>
      </c>
      <c r="CX78" s="133">
        <v>2.66</v>
      </c>
      <c r="CY78" s="269">
        <f>+CZ78*DA78</f>
        <v>569.64108250000004</v>
      </c>
      <c r="CZ78" s="269">
        <f>2.0671*91.25</f>
        <v>188.62287499999999</v>
      </c>
      <c r="DA78" s="133">
        <v>3.02</v>
      </c>
      <c r="DB78" s="269">
        <f t="shared" ref="DB78:DC82" si="343">+DE78-CS78-CV78-CY78</f>
        <v>1249.5765875</v>
      </c>
      <c r="DC78" s="269">
        <f t="shared" si="343"/>
        <v>185.31962500000012</v>
      </c>
      <c r="DD78" s="133">
        <f>+DB78/DC78</f>
        <v>6.7428184548722196</v>
      </c>
      <c r="DE78" s="274">
        <f>+DF78*DG78</f>
        <v>2887.7887500000002</v>
      </c>
      <c r="DF78" s="274">
        <f>2.055*365</f>
        <v>750.07500000000005</v>
      </c>
      <c r="DG78" s="273">
        <v>3.85</v>
      </c>
      <c r="DH78" s="272">
        <f>+DI78*DJ78</f>
        <v>440.33910249999997</v>
      </c>
      <c r="DI78" s="272">
        <f>0.0547*91.25</f>
        <v>4.9913749999999997</v>
      </c>
      <c r="DJ78" s="296">
        <v>88.22</v>
      </c>
      <c r="DK78" s="272">
        <f>+DL78*DM78</f>
        <v>436.35421499999995</v>
      </c>
      <c r="DL78" s="272">
        <f>0.0561*91.25</f>
        <v>5.1191249999999995</v>
      </c>
      <c r="DM78" s="296">
        <v>85.24</v>
      </c>
      <c r="DN78" s="272">
        <f>+DO78*DP78</f>
        <v>470.01095624999999</v>
      </c>
      <c r="DO78" s="272">
        <f>0.0589*91.25</f>
        <v>5.374625</v>
      </c>
      <c r="DP78" s="296">
        <v>87.45</v>
      </c>
      <c r="DQ78" s="272">
        <f t="shared" ref="DQ78:DR81" si="344">+DT78-DN78-DK78-DH78</f>
        <v>432.21082625000031</v>
      </c>
      <c r="DR78" s="272">
        <f t="shared" si="344"/>
        <v>5.6848750000000035</v>
      </c>
      <c r="DS78" s="296">
        <f>+DQ78/DR78</f>
        <v>76.028202247191018</v>
      </c>
      <c r="DT78" s="277">
        <f>+DU78*DV78</f>
        <v>1778.9151000000002</v>
      </c>
      <c r="DU78" s="277">
        <f>0.058*365</f>
        <v>21.17</v>
      </c>
      <c r="DV78" s="297">
        <v>84.03</v>
      </c>
      <c r="DW78" s="99">
        <f>+DX78*DY78</f>
        <v>330.64702125000002</v>
      </c>
      <c r="DX78" s="99">
        <f>0.1021*91.25</f>
        <v>9.3166250000000002</v>
      </c>
      <c r="DY78" s="298">
        <v>35.49</v>
      </c>
      <c r="DZ78" s="99">
        <f>+EA78*EB78</f>
        <v>258.03675000000004</v>
      </c>
      <c r="EA78" s="99">
        <f>0.09*91.25</f>
        <v>8.2125000000000004</v>
      </c>
      <c r="EB78" s="298">
        <v>31.42</v>
      </c>
      <c r="EC78" s="99">
        <f>+ED78*EE78</f>
        <v>247.33422000000002</v>
      </c>
      <c r="ED78" s="99">
        <f>0.1008*91.25</f>
        <v>9.1980000000000004</v>
      </c>
      <c r="EE78" s="298">
        <v>26.89</v>
      </c>
      <c r="EF78" s="99">
        <f t="shared" ref="EF78:EG82" si="345">+EI78-EC78-DZ78-DW78</f>
        <v>264.65410875000026</v>
      </c>
      <c r="EG78" s="99">
        <f t="shared" si="345"/>
        <v>9.407875000000006</v>
      </c>
      <c r="EH78" s="298">
        <f>+EF78/EG78</f>
        <v>28.131125121241524</v>
      </c>
      <c r="EI78" s="282">
        <f>+EJ78*EK78</f>
        <v>1100.6721000000002</v>
      </c>
      <c r="EJ78" s="282">
        <f>0.099*365</f>
        <v>36.135000000000005</v>
      </c>
      <c r="EK78" s="299">
        <v>30.46</v>
      </c>
      <c r="EL78" s="344">
        <v>94.05</v>
      </c>
      <c r="EM78" s="344">
        <v>2.75</v>
      </c>
      <c r="EN78" s="344">
        <v>10.98</v>
      </c>
      <c r="EO78" s="74">
        <v>2.41</v>
      </c>
      <c r="EP78" s="74">
        <v>2.2799999999999998</v>
      </c>
      <c r="EQ78" s="74">
        <v>2.88</v>
      </c>
      <c r="ER78" s="74">
        <v>3.4</v>
      </c>
      <c r="ES78" s="74">
        <v>13.14</v>
      </c>
      <c r="ET78" s="74">
        <v>10.75</v>
      </c>
      <c r="EU78" s="74">
        <v>9.9600000000000009</v>
      </c>
      <c r="EV78" s="74">
        <v>10.08</v>
      </c>
      <c r="EW78" s="74">
        <v>102.98</v>
      </c>
      <c r="EX78" s="74">
        <v>93.29</v>
      </c>
      <c r="EY78" s="74">
        <v>92.17</v>
      </c>
      <c r="EZ78" s="74">
        <v>88.01</v>
      </c>
    </row>
    <row r="79" spans="1:156" ht="26.25" customHeight="1" x14ac:dyDescent="0.3">
      <c r="A79" s="43" t="s">
        <v>43</v>
      </c>
      <c r="B79" s="43" t="s">
        <v>44</v>
      </c>
      <c r="C79" s="53">
        <v>2013</v>
      </c>
      <c r="D79" s="52">
        <v>709</v>
      </c>
      <c r="E79" s="52">
        <v>28</v>
      </c>
      <c r="F79" s="52">
        <v>41</v>
      </c>
      <c r="G79" s="52">
        <f t="shared" si="0"/>
        <v>187.16666666666669</v>
      </c>
      <c r="H79" s="52">
        <f t="shared" si="1"/>
        <v>1123</v>
      </c>
      <c r="I79" s="52">
        <v>165</v>
      </c>
      <c r="J79" s="52">
        <f>15+19</f>
        <v>34</v>
      </c>
      <c r="K79" s="52">
        <v>4</v>
      </c>
      <c r="L79" s="52">
        <f t="shared" si="2"/>
        <v>65.5</v>
      </c>
      <c r="M79" s="52">
        <f t="shared" si="3"/>
        <v>393</v>
      </c>
      <c r="N79" s="52">
        <f t="shared" si="309"/>
        <v>252.66666666666669</v>
      </c>
      <c r="O79" s="52">
        <f t="shared" si="309"/>
        <v>1516</v>
      </c>
      <c r="P79" s="54">
        <f t="shared" si="5"/>
        <v>0.74076517150395782</v>
      </c>
      <c r="Q79" s="54">
        <f t="shared" si="306"/>
        <v>0.63134461264470165</v>
      </c>
      <c r="R79" s="54">
        <f t="shared" si="12"/>
        <v>0.14959928762243987</v>
      </c>
      <c r="S79" s="54">
        <f t="shared" si="13"/>
        <v>0.21905609973285839</v>
      </c>
      <c r="T79" s="208">
        <v>35</v>
      </c>
      <c r="U79" s="208">
        <v>84</v>
      </c>
      <c r="V79" s="208">
        <v>843</v>
      </c>
      <c r="W79" s="52">
        <f t="shared" si="308"/>
        <v>1557</v>
      </c>
      <c r="X79" s="52">
        <f t="shared" si="310"/>
        <v>-888</v>
      </c>
      <c r="Y79" s="52">
        <f t="shared" si="311"/>
        <v>259.5</v>
      </c>
      <c r="Z79" s="52">
        <f t="shared" si="312"/>
        <v>-148</v>
      </c>
      <c r="AA79" s="205">
        <f t="shared" si="338"/>
        <v>-0.36319018404907977</v>
      </c>
      <c r="AB79" s="44"/>
      <c r="AC79" s="45">
        <f>405-299</f>
        <v>106</v>
      </c>
      <c r="AD79" s="45">
        <v>471</v>
      </c>
      <c r="AE79" s="45">
        <v>1</v>
      </c>
      <c r="AF79" s="45">
        <v>0</v>
      </c>
      <c r="AG79" s="55">
        <f t="shared" si="17"/>
        <v>578</v>
      </c>
      <c r="AH79" s="45">
        <f>1-18</f>
        <v>-17</v>
      </c>
      <c r="AI79" s="45">
        <v>69</v>
      </c>
      <c r="AJ79" s="45">
        <v>1</v>
      </c>
      <c r="AK79" s="45">
        <v>0</v>
      </c>
      <c r="AL79" s="55">
        <f t="shared" si="307"/>
        <v>53</v>
      </c>
      <c r="AM79" s="45">
        <f>8-50</f>
        <v>-42</v>
      </c>
      <c r="AN79" s="45">
        <v>64</v>
      </c>
      <c r="AO79" s="45">
        <v>0</v>
      </c>
      <c r="AP79" s="45">
        <v>0</v>
      </c>
      <c r="AQ79" s="55">
        <f t="shared" si="313"/>
        <v>22</v>
      </c>
      <c r="AR79" s="55">
        <f t="shared" si="9"/>
        <v>1028</v>
      </c>
      <c r="AS79" s="55">
        <f t="shared" si="10"/>
        <v>171.33333333333331</v>
      </c>
      <c r="AT79" s="46">
        <v>213</v>
      </c>
      <c r="AU79" s="46">
        <v>19</v>
      </c>
      <c r="AV79" s="46">
        <v>443</v>
      </c>
      <c r="AW79" s="46">
        <f>3838-368-42</f>
        <v>3428</v>
      </c>
      <c r="AX79" s="50">
        <f t="shared" si="164"/>
        <v>4103</v>
      </c>
      <c r="AY79" s="52">
        <f t="shared" si="314"/>
        <v>14509</v>
      </c>
      <c r="AZ79" s="52">
        <f t="shared" si="315"/>
        <v>655.66666666666674</v>
      </c>
      <c r="BA79" s="52">
        <f t="shared" si="316"/>
        <v>3934</v>
      </c>
      <c r="BB79" s="50">
        <f t="shared" si="317"/>
        <v>22.1286222674123</v>
      </c>
      <c r="BC79" s="50">
        <f t="shared" si="318"/>
        <v>3.6881037112353838</v>
      </c>
      <c r="BD79" s="44" t="s">
        <v>45</v>
      </c>
      <c r="BE79" s="47">
        <v>1257</v>
      </c>
      <c r="BF79" s="48">
        <v>0</v>
      </c>
      <c r="BG79" s="48">
        <v>125</v>
      </c>
      <c r="BH79" s="47">
        <f t="shared" si="339"/>
        <v>125</v>
      </c>
      <c r="BI79" s="48">
        <v>13</v>
      </c>
      <c r="BJ79" s="48">
        <v>0</v>
      </c>
      <c r="BK79" s="47">
        <f t="shared" si="340"/>
        <v>7.7508887693839696</v>
      </c>
      <c r="BL79" s="48">
        <v>0</v>
      </c>
      <c r="BM79" s="48">
        <v>380</v>
      </c>
      <c r="BN79" s="47">
        <f t="shared" si="341"/>
        <v>380</v>
      </c>
      <c r="BO79" s="48">
        <v>466</v>
      </c>
      <c r="BP79" s="48">
        <v>0</v>
      </c>
      <c r="BQ79" s="47">
        <f t="shared" si="342"/>
        <v>277.83955127176387</v>
      </c>
      <c r="BR79" s="48">
        <v>8522</v>
      </c>
      <c r="BS79" s="48">
        <v>10588</v>
      </c>
      <c r="BT79" s="202">
        <f t="shared" si="319"/>
        <v>0.59622221302953615</v>
      </c>
      <c r="BU79" s="49">
        <f t="shared" si="320"/>
        <v>2047.5904400411478</v>
      </c>
      <c r="BV79" s="50">
        <f t="shared" si="321"/>
        <v>10.939931113309783</v>
      </c>
      <c r="BW79" s="50">
        <f t="shared" si="322"/>
        <v>1.8233218522182972</v>
      </c>
      <c r="BX79" s="44" t="s">
        <v>46</v>
      </c>
      <c r="BY79" s="91">
        <f t="shared" si="323"/>
        <v>6150.5904400411473</v>
      </c>
      <c r="BZ79" s="56">
        <f t="shared" si="324"/>
        <v>615.05904400411475</v>
      </c>
      <c r="CA79" s="141">
        <f t="shared" si="325"/>
        <v>0.14990471460007671</v>
      </c>
      <c r="CB79" s="56">
        <f t="shared" si="326"/>
        <v>3.2861569581698022</v>
      </c>
      <c r="CC79" s="56">
        <f t="shared" si="327"/>
        <v>0.54769282636163374</v>
      </c>
      <c r="CD79" s="56">
        <f t="shared" si="328"/>
        <v>21.921638468388245</v>
      </c>
      <c r="CE79" s="56">
        <f t="shared" si="328"/>
        <v>3.6536064113980409</v>
      </c>
      <c r="CF79" s="56">
        <f t="shared" si="329"/>
        <v>33.068553380722079</v>
      </c>
      <c r="CG79" s="56">
        <f t="shared" si="330"/>
        <v>36.354710338891884</v>
      </c>
      <c r="CH79" s="56">
        <f t="shared" si="331"/>
        <v>54.990191849110325</v>
      </c>
      <c r="CI79" s="56">
        <f t="shared" si="332"/>
        <v>5.5114255634536811</v>
      </c>
      <c r="CJ79" s="38">
        <f t="shared" si="333"/>
        <v>6.0591183898153149</v>
      </c>
      <c r="CK79" s="56">
        <f t="shared" si="334"/>
        <v>9.1650319748517219</v>
      </c>
      <c r="CL79" s="51">
        <v>4</v>
      </c>
      <c r="CM79" s="56">
        <f t="shared" si="335"/>
        <v>3.3068553380722081</v>
      </c>
      <c r="CN79" s="56">
        <f t="shared" si="336"/>
        <v>618.93309077584831</v>
      </c>
      <c r="CO79" s="145">
        <f t="shared" si="337"/>
        <v>0.15084891317958771</v>
      </c>
      <c r="CP79" s="63"/>
      <c r="CQ79" s="327">
        <v>2791</v>
      </c>
      <c r="CS79" s="270">
        <f>+CT79*CU79</f>
        <v>468.11414249999996</v>
      </c>
      <c r="CT79" s="269">
        <f>1.6602*365/4</f>
        <v>151.49324999999999</v>
      </c>
      <c r="CU79" s="133">
        <v>3.09</v>
      </c>
      <c r="CV79" s="269">
        <f>+CW79*CX79</f>
        <v>522.130675</v>
      </c>
      <c r="CW79" s="269">
        <f>1.678*365/4</f>
        <v>153.11750000000001</v>
      </c>
      <c r="CX79" s="133">
        <v>3.41</v>
      </c>
      <c r="CY79" s="269">
        <f>+CZ79*DA79</f>
        <v>572.02362000000005</v>
      </c>
      <c r="CZ79" s="269">
        <f>1.9348*365/4</f>
        <v>176.5505</v>
      </c>
      <c r="DA79" s="133">
        <v>3.24</v>
      </c>
      <c r="DB79" s="269">
        <f t="shared" si="343"/>
        <v>741.42906249999976</v>
      </c>
      <c r="DC79" s="269">
        <f t="shared" si="343"/>
        <v>227.66874999999993</v>
      </c>
      <c r="DD79" s="133">
        <f>+DB79/DC79</f>
        <v>3.2566132264529055</v>
      </c>
      <c r="DE79" s="274">
        <f>+DF79*DG79</f>
        <v>2303.6974999999998</v>
      </c>
      <c r="DF79" s="274">
        <f>1.942*365</f>
        <v>708.82999999999993</v>
      </c>
      <c r="DG79" s="273">
        <v>3.25</v>
      </c>
      <c r="DH79" s="272">
        <f>+DI79*DJ79</f>
        <v>454.10553375000001</v>
      </c>
      <c r="DI79" s="272">
        <f>0.0627*91.25</f>
        <v>5.7213750000000001</v>
      </c>
      <c r="DJ79" s="296">
        <v>79.37</v>
      </c>
      <c r="DK79" s="272">
        <f>+DL79*DM79</f>
        <v>569.09339999999997</v>
      </c>
      <c r="DL79" s="272">
        <f>0.071*91.25</f>
        <v>6.4787499999999998</v>
      </c>
      <c r="DM79" s="296">
        <v>87.84</v>
      </c>
      <c r="DN79" s="272">
        <f>+DO79*DP79</f>
        <v>642.12898749999999</v>
      </c>
      <c r="DO79" s="272">
        <f>0.077*91.25</f>
        <v>7.0262500000000001</v>
      </c>
      <c r="DP79" s="296">
        <v>91.39</v>
      </c>
      <c r="DQ79" s="272">
        <f t="shared" si="344"/>
        <v>820.67247874999998</v>
      </c>
      <c r="DR79" s="272">
        <f t="shared" si="344"/>
        <v>9.243624999999998</v>
      </c>
      <c r="DS79" s="296">
        <f>+DQ79/DR79</f>
        <v>88.782537018756187</v>
      </c>
      <c r="DT79" s="277">
        <f>+DU79*DV79</f>
        <v>2486.0003999999999</v>
      </c>
      <c r="DU79" s="277">
        <f>0.078*365</f>
        <v>28.47</v>
      </c>
      <c r="DV79" s="297">
        <v>87.32</v>
      </c>
      <c r="DW79" s="99">
        <f>+DX79*DY79</f>
        <v>259.62176250000005</v>
      </c>
      <c r="DX79" s="99">
        <f>0.101*91.25</f>
        <v>9.2162500000000005</v>
      </c>
      <c r="DY79" s="298">
        <v>28.17</v>
      </c>
      <c r="DZ79" s="99">
        <f>+EA79*EB79</f>
        <v>252.84918749999997</v>
      </c>
      <c r="EA79" s="99">
        <f>0.105*91.25</f>
        <v>9.5812499999999989</v>
      </c>
      <c r="EB79" s="298">
        <v>26.39</v>
      </c>
      <c r="EC79" s="99">
        <f>+ED79*EE79</f>
        <v>263.484375</v>
      </c>
      <c r="ED79" s="99">
        <f>0.11*91.25</f>
        <v>10.0375</v>
      </c>
      <c r="EE79" s="298">
        <v>26.25</v>
      </c>
      <c r="EF79" s="99">
        <f t="shared" si="345"/>
        <v>381.62027500000011</v>
      </c>
      <c r="EG79" s="99">
        <f t="shared" si="345"/>
        <v>13.505000000000004</v>
      </c>
      <c r="EH79" s="298">
        <f>+EF79/EG79</f>
        <v>28.257702702702701</v>
      </c>
      <c r="EI79" s="282">
        <f>+EJ79*EK79</f>
        <v>1157.5756000000001</v>
      </c>
      <c r="EJ79" s="282">
        <f>0.116*365</f>
        <v>42.34</v>
      </c>
      <c r="EK79" s="299">
        <v>27.34</v>
      </c>
      <c r="EL79" s="344">
        <v>97.98</v>
      </c>
      <c r="EM79" s="344">
        <v>3.73</v>
      </c>
      <c r="EN79" s="344">
        <v>9.94</v>
      </c>
      <c r="EO79" s="74">
        <v>3.49</v>
      </c>
      <c r="EP79" s="74">
        <v>4.01</v>
      </c>
      <c r="EQ79" s="74">
        <v>3.56</v>
      </c>
      <c r="ER79" s="74">
        <v>3.85</v>
      </c>
      <c r="ES79" s="74">
        <v>9.77</v>
      </c>
      <c r="ET79" s="74">
        <v>9.39</v>
      </c>
      <c r="EU79" s="74">
        <v>10.01</v>
      </c>
      <c r="EV79" s="74">
        <v>10.53</v>
      </c>
      <c r="EW79" s="74">
        <v>94.33</v>
      </c>
      <c r="EX79" s="74">
        <v>94.05</v>
      </c>
      <c r="EY79" s="74">
        <v>105.83</v>
      </c>
      <c r="EZ79" s="74">
        <v>97.44</v>
      </c>
    </row>
    <row r="80" spans="1:156" ht="26.25" customHeight="1" x14ac:dyDescent="0.3">
      <c r="A80" s="43" t="s">
        <v>43</v>
      </c>
      <c r="B80" s="43" t="s">
        <v>44</v>
      </c>
      <c r="C80" s="53">
        <v>2014</v>
      </c>
      <c r="D80" s="52">
        <v>660</v>
      </c>
      <c r="E80" s="52">
        <v>48</v>
      </c>
      <c r="F80" s="52">
        <v>50</v>
      </c>
      <c r="G80" s="52">
        <f t="shared" si="0"/>
        <v>208</v>
      </c>
      <c r="H80" s="52">
        <f t="shared" si="1"/>
        <v>1248</v>
      </c>
      <c r="I80" s="52">
        <v>41</v>
      </c>
      <c r="J80" s="52">
        <v>10</v>
      </c>
      <c r="K80" s="52">
        <f>20+1</f>
        <v>21</v>
      </c>
      <c r="L80" s="52">
        <f t="shared" si="2"/>
        <v>37.833333333333329</v>
      </c>
      <c r="M80" s="52">
        <f t="shared" si="3"/>
        <v>227</v>
      </c>
      <c r="N80" s="52">
        <f t="shared" si="309"/>
        <v>245.83333333333331</v>
      </c>
      <c r="O80" s="52">
        <f t="shared" si="309"/>
        <v>1475</v>
      </c>
      <c r="P80" s="54">
        <f t="shared" si="5"/>
        <v>0.84610169491525422</v>
      </c>
      <c r="Q80" s="54">
        <f t="shared" si="306"/>
        <v>0.52884615384615385</v>
      </c>
      <c r="R80" s="54">
        <f t="shared" si="12"/>
        <v>0.23076923076923078</v>
      </c>
      <c r="S80" s="54">
        <f t="shared" si="13"/>
        <v>0.24038461538461539</v>
      </c>
      <c r="T80" s="208">
        <v>96</v>
      </c>
      <c r="U80" s="208">
        <v>92</v>
      </c>
      <c r="V80" s="208">
        <v>703</v>
      </c>
      <c r="W80" s="52">
        <f t="shared" si="308"/>
        <v>1831</v>
      </c>
      <c r="X80" s="52">
        <f t="shared" si="310"/>
        <v>274</v>
      </c>
      <c r="Y80" s="52">
        <f t="shared" si="311"/>
        <v>305.16666666666669</v>
      </c>
      <c r="Z80" s="52">
        <f t="shared" si="312"/>
        <v>45.666666666666686</v>
      </c>
      <c r="AA80" s="205">
        <f t="shared" si="338"/>
        <v>0.1759794476557483</v>
      </c>
      <c r="AB80" s="44"/>
      <c r="AC80" s="45">
        <f>191-299</f>
        <v>-108</v>
      </c>
      <c r="AD80" s="45">
        <v>335</v>
      </c>
      <c r="AE80" s="45">
        <v>457</v>
      </c>
      <c r="AF80" s="45">
        <v>0</v>
      </c>
      <c r="AG80" s="55">
        <f>SUM(AC80:AF80)</f>
        <v>684</v>
      </c>
      <c r="AH80" s="45">
        <f>-1-38</f>
        <v>-39</v>
      </c>
      <c r="AI80" s="45">
        <v>94</v>
      </c>
      <c r="AJ80" s="45">
        <v>132</v>
      </c>
      <c r="AK80" s="45">
        <v>0</v>
      </c>
      <c r="AL80" s="55">
        <f t="shared" si="307"/>
        <v>187</v>
      </c>
      <c r="AM80" s="45">
        <f>7+2</f>
        <v>9</v>
      </c>
      <c r="AN80" s="45">
        <v>47</v>
      </c>
      <c r="AO80" s="45">
        <v>57</v>
      </c>
      <c r="AP80" s="45">
        <v>0</v>
      </c>
      <c r="AQ80" s="55">
        <f>SUM(AM80:AP80)</f>
        <v>113</v>
      </c>
      <c r="AR80" s="55">
        <f t="shared" si="9"/>
        <v>2484</v>
      </c>
      <c r="AS80" s="55">
        <f t="shared" si="10"/>
        <v>414</v>
      </c>
      <c r="AT80" s="46">
        <v>1176</v>
      </c>
      <c r="AU80" s="46">
        <v>5210</v>
      </c>
      <c r="AV80" s="46">
        <v>270</v>
      </c>
      <c r="AW80" s="46">
        <v>4400</v>
      </c>
      <c r="AX80" s="50">
        <f t="shared" si="164"/>
        <v>11056</v>
      </c>
      <c r="AY80" s="52">
        <f t="shared" si="314"/>
        <v>20660</v>
      </c>
      <c r="AZ80" s="52">
        <f t="shared" si="315"/>
        <v>726.66666666666663</v>
      </c>
      <c r="BA80" s="52">
        <f t="shared" si="316"/>
        <v>4360</v>
      </c>
      <c r="BB80" s="50">
        <f t="shared" si="317"/>
        <v>28.431192660550462</v>
      </c>
      <c r="BC80" s="50">
        <f t="shared" si="318"/>
        <v>4.738532110091743</v>
      </c>
      <c r="BD80" s="44"/>
      <c r="BE80" s="47">
        <v>1559</v>
      </c>
      <c r="BF80" s="48">
        <v>0</v>
      </c>
      <c r="BG80" s="48">
        <v>153</v>
      </c>
      <c r="BH80" s="47">
        <f t="shared" si="339"/>
        <v>153</v>
      </c>
      <c r="BI80" s="48">
        <v>899</v>
      </c>
      <c r="BJ80" s="48">
        <v>0</v>
      </c>
      <c r="BK80" s="47">
        <f t="shared" si="340"/>
        <v>428.85567213702808</v>
      </c>
      <c r="BL80" s="48">
        <v>0</v>
      </c>
      <c r="BM80" s="48">
        <v>466</v>
      </c>
      <c r="BN80" s="47">
        <f t="shared" si="341"/>
        <v>466</v>
      </c>
      <c r="BO80" s="48">
        <v>532</v>
      </c>
      <c r="BP80" s="48">
        <v>0</v>
      </c>
      <c r="BQ80" s="47">
        <f t="shared" si="342"/>
        <v>253.78333434582751</v>
      </c>
      <c r="BR80" s="48">
        <v>9910</v>
      </c>
      <c r="BS80" s="48">
        <v>17577</v>
      </c>
      <c r="BT80" s="202">
        <f t="shared" si="319"/>
        <v>0.47703634275531487</v>
      </c>
      <c r="BU80" s="49">
        <f t="shared" si="320"/>
        <v>2860.6390064828556</v>
      </c>
      <c r="BV80" s="50">
        <f t="shared" si="321"/>
        <v>13.75307214655219</v>
      </c>
      <c r="BW80" s="50">
        <f t="shared" si="322"/>
        <v>2.2921786910920319</v>
      </c>
      <c r="BX80" s="44"/>
      <c r="BY80" s="91">
        <f t="shared" si="323"/>
        <v>13916.639006482856</v>
      </c>
      <c r="BZ80" s="56">
        <f t="shared" si="324"/>
        <v>1391.6639006482856</v>
      </c>
      <c r="CA80" s="141">
        <f t="shared" si="325"/>
        <v>0.12587408652752222</v>
      </c>
      <c r="CB80" s="56">
        <f t="shared" si="326"/>
        <v>6.6906918300398344</v>
      </c>
      <c r="CC80" s="56">
        <f t="shared" si="327"/>
        <v>1.1151153050066391</v>
      </c>
      <c r="CD80" s="56">
        <f t="shared" si="328"/>
        <v>53.153846153846153</v>
      </c>
      <c r="CE80" s="56">
        <f t="shared" si="328"/>
        <v>8.8589743589743595</v>
      </c>
      <c r="CF80" s="56">
        <f t="shared" si="329"/>
        <v>42.18426480710265</v>
      </c>
      <c r="CG80" s="56">
        <f t="shared" si="330"/>
        <v>48.874956637142482</v>
      </c>
      <c r="CH80" s="56">
        <f t="shared" si="331"/>
        <v>95.338110960948796</v>
      </c>
      <c r="CI80" s="56">
        <f t="shared" si="332"/>
        <v>7.0307108011837744</v>
      </c>
      <c r="CJ80" s="56">
        <f t="shared" si="333"/>
        <v>8.1458261061904143</v>
      </c>
      <c r="CK80" s="56">
        <f t="shared" si="334"/>
        <v>15.889685160158134</v>
      </c>
      <c r="CL80" s="51">
        <v>4</v>
      </c>
      <c r="CM80" s="56">
        <f t="shared" si="335"/>
        <v>4.2184264807102654</v>
      </c>
      <c r="CN80" s="56">
        <f t="shared" si="336"/>
        <v>877.43270798773517</v>
      </c>
      <c r="CO80" s="173">
        <f t="shared" si="337"/>
        <v>7.9362582126242323E-2</v>
      </c>
      <c r="CP80" s="174"/>
      <c r="CQ80" s="328">
        <v>2752</v>
      </c>
      <c r="CR80" s="82"/>
      <c r="CS80" s="270">
        <f>+CT80*CU80</f>
        <v>575.09171875000004</v>
      </c>
      <c r="CT80" s="269">
        <f>1.5875*91.25</f>
        <v>144.859375</v>
      </c>
      <c r="CU80" s="133">
        <v>3.97</v>
      </c>
      <c r="CV80" s="269">
        <f>+CW80*CX80</f>
        <v>614.9437875000001</v>
      </c>
      <c r="CW80" s="269">
        <f>1.689*365/4</f>
        <v>154.12125</v>
      </c>
      <c r="CX80" s="133">
        <v>3.99</v>
      </c>
      <c r="CY80" s="269">
        <f>+CZ80*DA80</f>
        <v>573.67050000000006</v>
      </c>
      <c r="CZ80" s="269">
        <f>1.69*365/4</f>
        <v>154.21250000000001</v>
      </c>
      <c r="DA80" s="133">
        <v>3.72</v>
      </c>
      <c r="DB80" s="269">
        <f t="shared" si="343"/>
        <v>778.39124374999972</v>
      </c>
      <c r="DC80" s="269">
        <f t="shared" si="343"/>
        <v>207.09187499999993</v>
      </c>
      <c r="DD80" s="133">
        <f>+DB80/DC80</f>
        <v>3.7586759198061248</v>
      </c>
      <c r="DE80" s="274">
        <f>+DF80*DG80</f>
        <v>2542.0972499999998</v>
      </c>
      <c r="DF80" s="274">
        <f>1.809*365</f>
        <v>660.28499999999997</v>
      </c>
      <c r="DG80" s="273">
        <v>3.85</v>
      </c>
      <c r="DH80" s="272">
        <f>+DI80*DJ80</f>
        <v>741.64350000000002</v>
      </c>
      <c r="DI80" s="272">
        <f>0.0975*91.25</f>
        <v>8.8968749999999996</v>
      </c>
      <c r="DJ80" s="296">
        <v>83.36</v>
      </c>
      <c r="DK80" s="272">
        <f>+DL80*DM80</f>
        <v>1016.7439999999999</v>
      </c>
      <c r="DL80" s="272">
        <f>0.128*91.25</f>
        <v>11.68</v>
      </c>
      <c r="DM80" s="296">
        <v>87.05</v>
      </c>
      <c r="DN80" s="272">
        <f>+DO80*DP80</f>
        <v>1064.5298</v>
      </c>
      <c r="DO80" s="272">
        <f>0.136*91.25</f>
        <v>12.41</v>
      </c>
      <c r="DP80" s="296">
        <v>85.78</v>
      </c>
      <c r="DQ80" s="272">
        <f t="shared" si="344"/>
        <v>1164.3062000000009</v>
      </c>
      <c r="DR80" s="272">
        <f t="shared" si="344"/>
        <v>14.463125000000007</v>
      </c>
      <c r="DS80" s="296">
        <f>+DQ80/DR80</f>
        <v>80.501703470031572</v>
      </c>
      <c r="DT80" s="277">
        <f>+DU80*DV80</f>
        <v>3987.2235000000005</v>
      </c>
      <c r="DU80" s="277">
        <f>0.13*365</f>
        <v>47.45</v>
      </c>
      <c r="DV80" s="297">
        <v>84.03</v>
      </c>
      <c r="DW80" s="99">
        <f>+DX80*DY80</f>
        <v>338.03288749999996</v>
      </c>
      <c r="DX80" s="99">
        <f>0.119*91.25</f>
        <v>10.858749999999999</v>
      </c>
      <c r="DY80" s="298">
        <v>31.13</v>
      </c>
      <c r="DZ80" s="99">
        <f>+EA80*EB80</f>
        <v>298.104625</v>
      </c>
      <c r="EA80" s="99">
        <f>0.13*91.25</f>
        <v>11.862500000000001</v>
      </c>
      <c r="EB80" s="298">
        <v>25.13</v>
      </c>
      <c r="EC80" s="99">
        <f>+ED80*EE80</f>
        <v>326.27167500000002</v>
      </c>
      <c r="ED80" s="99">
        <f>0.138*91.25</f>
        <v>12.592500000000001</v>
      </c>
      <c r="EE80" s="298">
        <v>25.91</v>
      </c>
      <c r="EF80" s="99">
        <f t="shared" si="345"/>
        <v>283.21536250000014</v>
      </c>
      <c r="EG80" s="99">
        <f t="shared" si="345"/>
        <v>14.691250000000002</v>
      </c>
      <c r="EH80" s="298">
        <f>+EF80/EG80</f>
        <v>19.27782608695653</v>
      </c>
      <c r="EI80" s="282">
        <f>+EJ80*EK80</f>
        <v>1245.62455</v>
      </c>
      <c r="EJ80" s="282">
        <f>0.137*365</f>
        <v>50.005000000000003</v>
      </c>
      <c r="EK80" s="299">
        <v>24.91</v>
      </c>
      <c r="EL80" s="344">
        <v>93.17</v>
      </c>
      <c r="EM80" s="344">
        <v>4.37</v>
      </c>
      <c r="EN80" s="344">
        <v>9.56</v>
      </c>
      <c r="EO80" s="74">
        <v>5.21</v>
      </c>
      <c r="EP80" s="74">
        <v>4.6100000000000003</v>
      </c>
      <c r="EQ80" s="74">
        <v>3.96</v>
      </c>
      <c r="ER80" s="74">
        <v>3.8</v>
      </c>
      <c r="ES80" s="74">
        <v>11.19</v>
      </c>
      <c r="ET80" s="74">
        <v>10.15</v>
      </c>
      <c r="EU80" s="74">
        <v>9.83</v>
      </c>
      <c r="EV80" s="74">
        <v>7.41</v>
      </c>
      <c r="EW80" s="74">
        <v>98.68</v>
      </c>
      <c r="EX80" s="74">
        <v>103.35</v>
      </c>
      <c r="EY80" s="74">
        <v>97.87</v>
      </c>
      <c r="EZ80" s="74">
        <v>73.209999999999994</v>
      </c>
    </row>
    <row r="81" spans="1:156" ht="26.25" customHeight="1" x14ac:dyDescent="0.3">
      <c r="A81" s="43" t="s">
        <v>43</v>
      </c>
      <c r="B81" s="43" t="s">
        <v>44</v>
      </c>
      <c r="C81" s="53">
        <v>2015</v>
      </c>
      <c r="D81" s="52">
        <v>579</v>
      </c>
      <c r="E81" s="52">
        <v>60</v>
      </c>
      <c r="F81" s="52">
        <v>50</v>
      </c>
      <c r="G81" s="52">
        <f>D81/6+E81+F81</f>
        <v>206.5</v>
      </c>
      <c r="H81" s="52">
        <f>D81+E81*6+F81*6</f>
        <v>1239</v>
      </c>
      <c r="I81" s="52">
        <v>8</v>
      </c>
      <c r="J81" s="52">
        <v>10</v>
      </c>
      <c r="K81" s="52">
        <v>31</v>
      </c>
      <c r="L81" s="52">
        <f>I81/6+J81+K81</f>
        <v>42.333333333333336</v>
      </c>
      <c r="M81" s="52">
        <f>I81+J81*6+K81*6</f>
        <v>254</v>
      </c>
      <c r="N81" s="52">
        <f>G81+L81</f>
        <v>248.83333333333334</v>
      </c>
      <c r="O81" s="52">
        <f>H81+M81</f>
        <v>1493</v>
      </c>
      <c r="P81" s="54">
        <f>+H81/O81</f>
        <v>0.82987273945077022</v>
      </c>
      <c r="Q81" s="54">
        <f t="shared" si="306"/>
        <v>0.46731234866828086</v>
      </c>
      <c r="R81" s="54">
        <f>E81/G81</f>
        <v>0.29055690072639223</v>
      </c>
      <c r="S81" s="54">
        <f>F81/G81</f>
        <v>0.24213075060532688</v>
      </c>
      <c r="T81" s="208">
        <v>39</v>
      </c>
      <c r="U81" s="208">
        <v>17</v>
      </c>
      <c r="V81" s="208">
        <v>114</v>
      </c>
      <c r="W81" s="52">
        <f>+T81*6+U81*6+V81</f>
        <v>450</v>
      </c>
      <c r="X81" s="52">
        <f t="shared" si="310"/>
        <v>-1381</v>
      </c>
      <c r="Y81" s="52">
        <f t="shared" si="311"/>
        <v>75</v>
      </c>
      <c r="Z81" s="52">
        <f t="shared" si="312"/>
        <v>-230.16666666666669</v>
      </c>
      <c r="AA81" s="205">
        <f t="shared" si="338"/>
        <v>-0.75423265974877118</v>
      </c>
      <c r="AB81" s="44"/>
      <c r="AC81" s="45">
        <f>-1412-3</f>
        <v>-1415</v>
      </c>
      <c r="AD81" s="45">
        <v>171</v>
      </c>
      <c r="AE81" s="45">
        <v>17</v>
      </c>
      <c r="AF81" s="45">
        <v>0</v>
      </c>
      <c r="AG81" s="55">
        <f>SUM(AC81:AF81)</f>
        <v>-1227</v>
      </c>
      <c r="AH81" s="45">
        <f>-53-52</f>
        <v>-105</v>
      </c>
      <c r="AI81" s="45">
        <v>51</v>
      </c>
      <c r="AJ81" s="45">
        <v>5</v>
      </c>
      <c r="AK81" s="45">
        <v>0</v>
      </c>
      <c r="AL81" s="55">
        <f t="shared" si="307"/>
        <v>-49</v>
      </c>
      <c r="AM81" s="45">
        <f>-119-6</f>
        <v>-125</v>
      </c>
      <c r="AN81" s="45">
        <v>24</v>
      </c>
      <c r="AO81" s="45">
        <v>1</v>
      </c>
      <c r="AP81" s="45">
        <v>0</v>
      </c>
      <c r="AQ81" s="55">
        <f>SUM(AM81:AP81)</f>
        <v>-100</v>
      </c>
      <c r="AR81" s="55">
        <f>(AG81)+(AL81*6)+AQ81*6</f>
        <v>-2121</v>
      </c>
      <c r="AS81" s="55">
        <f>AG81/6+AL81+AQ81</f>
        <v>-353.5</v>
      </c>
      <c r="AT81" s="46">
        <v>634</v>
      </c>
      <c r="AU81" s="46">
        <v>193</v>
      </c>
      <c r="AV81" s="46">
        <v>478</v>
      </c>
      <c r="AW81" s="46">
        <v>3269</v>
      </c>
      <c r="AX81" s="50">
        <f t="shared" si="164"/>
        <v>4574</v>
      </c>
      <c r="AY81" s="52">
        <f>SUM(AX79:AX81)</f>
        <v>19733</v>
      </c>
      <c r="AZ81" s="52">
        <f t="shared" si="315"/>
        <v>231.83333333333326</v>
      </c>
      <c r="BA81" s="52">
        <f t="shared" si="316"/>
        <v>1391</v>
      </c>
      <c r="BB81" s="50">
        <f>AY81/AZ81</f>
        <v>85.117181883537057</v>
      </c>
      <c r="BC81" s="50">
        <f>AY81/BA81</f>
        <v>14.186196980589504</v>
      </c>
      <c r="BD81" s="44"/>
      <c r="BE81" s="47">
        <v>1551</v>
      </c>
      <c r="BF81" s="48">
        <v>0</v>
      </c>
      <c r="BG81" s="48">
        <v>196</v>
      </c>
      <c r="BH81" s="47">
        <f t="shared" si="339"/>
        <v>196</v>
      </c>
      <c r="BI81" s="48">
        <v>-279</v>
      </c>
      <c r="BJ81" s="48">
        <v>0</v>
      </c>
      <c r="BK81" s="47">
        <f t="shared" si="340"/>
        <v>-98.569739626562921</v>
      </c>
      <c r="BL81" s="48">
        <v>0</v>
      </c>
      <c r="BM81" s="48">
        <v>309</v>
      </c>
      <c r="BN81" s="47">
        <f t="shared" si="341"/>
        <v>309</v>
      </c>
      <c r="BO81" s="48">
        <v>565</v>
      </c>
      <c r="BP81" s="48">
        <v>0</v>
      </c>
      <c r="BQ81" s="47">
        <f t="shared" si="342"/>
        <v>199.61255515773496</v>
      </c>
      <c r="BR81" s="48">
        <v>5382</v>
      </c>
      <c r="BS81" s="48">
        <v>12642</v>
      </c>
      <c r="BT81" s="202">
        <f t="shared" si="319"/>
        <v>0.35329655780130081</v>
      </c>
      <c r="BU81" s="49">
        <f t="shared" si="320"/>
        <v>2157.042815531172</v>
      </c>
      <c r="BV81" s="50">
        <f t="shared" si="321"/>
        <v>10.445727920247807</v>
      </c>
      <c r="BW81" s="50">
        <f t="shared" si="322"/>
        <v>1.7409546533746343</v>
      </c>
      <c r="BX81" s="44"/>
      <c r="BY81" s="91">
        <f t="shared" si="323"/>
        <v>6731.042815531172</v>
      </c>
      <c r="BZ81" s="56">
        <f>(BY81*0.1)</f>
        <v>673.10428155311729</v>
      </c>
      <c r="CA81" s="141">
        <f t="shared" si="325"/>
        <v>0.14715878477330943</v>
      </c>
      <c r="CB81" s="56">
        <f t="shared" si="326"/>
        <v>3.2595848985623115</v>
      </c>
      <c r="CC81" s="56">
        <f t="shared" si="327"/>
        <v>0.54326414976038517</v>
      </c>
      <c r="CD81" s="56">
        <f t="shared" si="328"/>
        <v>22.150121065375302</v>
      </c>
      <c r="CE81" s="56">
        <f t="shared" si="328"/>
        <v>3.691686844229217</v>
      </c>
      <c r="CF81" s="56">
        <f t="shared" si="329"/>
        <v>95.562909803784862</v>
      </c>
      <c r="CG81" s="56">
        <f>CB81+CF81</f>
        <v>98.822494702347171</v>
      </c>
      <c r="CH81" s="56">
        <f>CF81+CD81</f>
        <v>117.71303086916016</v>
      </c>
      <c r="CI81" s="56">
        <f t="shared" si="332"/>
        <v>15.927151633964138</v>
      </c>
      <c r="CJ81" s="56">
        <f>+CI81+CC81</f>
        <v>16.470415783724523</v>
      </c>
      <c r="CK81" s="56">
        <f>+CI81+CE81</f>
        <v>19.618838478193354</v>
      </c>
      <c r="CL81" s="51">
        <v>4</v>
      </c>
      <c r="CM81" s="56">
        <f t="shared" si="335"/>
        <v>9.5562909803784866</v>
      </c>
      <c r="CN81" s="56">
        <f t="shared" si="336"/>
        <v>1973.3740874481575</v>
      </c>
      <c r="CO81" s="173">
        <f t="shared" si="337"/>
        <v>0.43143290062268419</v>
      </c>
      <c r="CP81" s="174"/>
      <c r="CQ81" s="328">
        <v>2584</v>
      </c>
      <c r="CR81" s="169"/>
      <c r="CS81" s="270">
        <f>+CT81*CU81</f>
        <v>436.75170000000003</v>
      </c>
      <c r="CT81" s="269">
        <f>1.617*91.25</f>
        <v>147.55125000000001</v>
      </c>
      <c r="CU81" s="133">
        <v>2.96</v>
      </c>
      <c r="CV81" s="269">
        <f>+CW81*CX81</f>
        <v>397.39101249999999</v>
      </c>
      <c r="CW81" s="269">
        <f>1.607*91.25</f>
        <v>146.63874999999999</v>
      </c>
      <c r="CX81" s="133">
        <v>2.71</v>
      </c>
      <c r="CY81" s="269">
        <f>+CZ81*DA81</f>
        <v>388.24137500000006</v>
      </c>
      <c r="CZ81" s="269">
        <f>1.57*91.25</f>
        <v>143.26250000000002</v>
      </c>
      <c r="DA81" s="133">
        <v>2.71</v>
      </c>
      <c r="DB81" s="269">
        <f t="shared" si="343"/>
        <v>346.70591249999984</v>
      </c>
      <c r="DC81" s="269">
        <f t="shared" si="343"/>
        <v>141.54750000000004</v>
      </c>
      <c r="DD81" s="133">
        <f>+DB81/DC81</f>
        <v>2.4493962274148235</v>
      </c>
      <c r="DE81" s="274">
        <f>+DF81*DG81</f>
        <v>1569.09</v>
      </c>
      <c r="DF81" s="274">
        <v>579</v>
      </c>
      <c r="DG81" s="273">
        <v>2.71</v>
      </c>
      <c r="DH81" s="272">
        <f>+DI81*DJ81</f>
        <v>1077.5457000000001</v>
      </c>
      <c r="DI81" s="272">
        <f>0.168*91.25</f>
        <v>15.33</v>
      </c>
      <c r="DJ81" s="296">
        <v>70.290000000000006</v>
      </c>
      <c r="DK81" s="272">
        <f>+DL81*DM81</f>
        <v>1150.28655</v>
      </c>
      <c r="DL81" s="272">
        <f>0.172*91.25</f>
        <v>15.694999999999999</v>
      </c>
      <c r="DM81" s="296">
        <v>73.290000000000006</v>
      </c>
      <c r="DN81" s="272">
        <f>+DO81*DP81</f>
        <v>1058.3576500000001</v>
      </c>
      <c r="DO81" s="272">
        <f>0.161*91.25</f>
        <v>14.69125</v>
      </c>
      <c r="DP81" s="296">
        <v>72.040000000000006</v>
      </c>
      <c r="DQ81" s="272">
        <f t="shared" si="344"/>
        <v>1033.8101000000001</v>
      </c>
      <c r="DR81" s="272">
        <f t="shared" si="344"/>
        <v>14.283750000000003</v>
      </c>
      <c r="DS81" s="296">
        <f>+DQ81/DR81</f>
        <v>72.376658790583704</v>
      </c>
      <c r="DT81" s="277">
        <f>+DU81*DV81</f>
        <v>4320</v>
      </c>
      <c r="DU81" s="277">
        <v>60</v>
      </c>
      <c r="DV81" s="297">
        <v>72</v>
      </c>
      <c r="DW81" s="99">
        <f>+DX81*DY81</f>
        <v>119.22725000000003</v>
      </c>
      <c r="DX81" s="99">
        <f>0.139*91.25</f>
        <v>12.683750000000002</v>
      </c>
      <c r="DY81" s="298">
        <v>9.4</v>
      </c>
      <c r="DZ81" s="99">
        <f>+EA81*EB81</f>
        <v>126.06552500000002</v>
      </c>
      <c r="EA81" s="99">
        <f>0.134*91.25</f>
        <v>12.227500000000001</v>
      </c>
      <c r="EB81" s="298">
        <v>10.31</v>
      </c>
      <c r="EC81" s="99">
        <f>+ED81*EE81</f>
        <v>107.60200000000002</v>
      </c>
      <c r="ED81" s="99">
        <f>0.134*91.25</f>
        <v>12.227500000000001</v>
      </c>
      <c r="EE81" s="298">
        <v>8.8000000000000007</v>
      </c>
      <c r="EF81" s="99">
        <f t="shared" si="345"/>
        <v>113.1052249999999</v>
      </c>
      <c r="EG81" s="99">
        <f t="shared" si="345"/>
        <v>12.86125</v>
      </c>
      <c r="EH81" s="298">
        <f>+EF81/EG81</f>
        <v>8.7942637768490552</v>
      </c>
      <c r="EI81" s="282">
        <f>+EJ81*EK81</f>
        <v>466</v>
      </c>
      <c r="EJ81" s="282">
        <v>50</v>
      </c>
      <c r="EK81" s="299">
        <v>9.32</v>
      </c>
      <c r="EL81" s="344">
        <v>48.66</v>
      </c>
      <c r="EM81" s="344">
        <v>2.62</v>
      </c>
      <c r="EN81" s="344">
        <v>4.97</v>
      </c>
      <c r="EO81" s="331">
        <v>2.9</v>
      </c>
      <c r="EP81" s="331">
        <v>2.75</v>
      </c>
      <c r="EQ81" s="331">
        <v>2.76</v>
      </c>
      <c r="ER81" s="331">
        <v>2.12</v>
      </c>
      <c r="ES81" s="331">
        <v>5.43</v>
      </c>
      <c r="ET81" s="331">
        <v>5.2</v>
      </c>
      <c r="EU81" s="331">
        <v>4.68</v>
      </c>
      <c r="EV81" s="331">
        <v>4.5999999999999996</v>
      </c>
      <c r="EW81" s="331">
        <v>48.49</v>
      </c>
      <c r="EX81" s="331">
        <v>57.85</v>
      </c>
      <c r="EY81" s="331">
        <v>46.64</v>
      </c>
      <c r="EZ81" s="331">
        <v>41.94</v>
      </c>
    </row>
    <row r="82" spans="1:156" ht="26.25" customHeight="1" x14ac:dyDescent="0.3">
      <c r="A82" s="228" t="s">
        <v>43</v>
      </c>
      <c r="B82" s="228" t="s">
        <v>44</v>
      </c>
      <c r="C82" s="229">
        <v>2016</v>
      </c>
      <c r="D82" s="216">
        <v>510</v>
      </c>
      <c r="E82" s="216">
        <v>47</v>
      </c>
      <c r="F82" s="216">
        <v>42</v>
      </c>
      <c r="G82" s="216">
        <f>D82/6+E82+F82</f>
        <v>174</v>
      </c>
      <c r="H82" s="216">
        <f>D82+E82*6+F82*6</f>
        <v>1044</v>
      </c>
      <c r="I82" s="216">
        <v>7</v>
      </c>
      <c r="J82" s="216">
        <v>8</v>
      </c>
      <c r="K82" s="216">
        <v>40</v>
      </c>
      <c r="L82" s="216">
        <f>I82/6+J82+K82</f>
        <v>49.166666666666664</v>
      </c>
      <c r="M82" s="216">
        <f>I82+J82*6+K82*6</f>
        <v>295</v>
      </c>
      <c r="N82" s="216">
        <f>G82+L82</f>
        <v>223.16666666666666</v>
      </c>
      <c r="O82" s="216">
        <f>H82+M82</f>
        <v>1339</v>
      </c>
      <c r="P82" s="302">
        <f>+H82/O82</f>
        <v>0.77968633308439139</v>
      </c>
      <c r="Q82" s="302">
        <f t="shared" si="306"/>
        <v>0.4885057471264368</v>
      </c>
      <c r="R82" s="302">
        <f>E82/G82</f>
        <v>0.27011494252873564</v>
      </c>
      <c r="S82" s="302">
        <f>F82/G82</f>
        <v>0.2413793103448276</v>
      </c>
      <c r="T82" s="209">
        <v>34</v>
      </c>
      <c r="U82" s="209">
        <v>38</v>
      </c>
      <c r="V82" s="209">
        <v>254</v>
      </c>
      <c r="W82" s="216">
        <f>+Y82*6</f>
        <v>686</v>
      </c>
      <c r="X82" s="216">
        <f t="shared" si="310"/>
        <v>236</v>
      </c>
      <c r="Y82" s="216">
        <f>+T82+U82+V82/6</f>
        <v>114.33333333333334</v>
      </c>
      <c r="Z82" s="216">
        <f t="shared" si="312"/>
        <v>39.333333333333343</v>
      </c>
      <c r="AA82" s="206">
        <f t="shared" si="338"/>
        <v>0.5244444444444446</v>
      </c>
      <c r="AB82" s="230"/>
      <c r="AC82" s="231">
        <f>628-103</f>
        <v>525</v>
      </c>
      <c r="AD82" s="231">
        <v>280</v>
      </c>
      <c r="AE82" s="231">
        <v>33</v>
      </c>
      <c r="AF82" s="231">
        <v>0</v>
      </c>
      <c r="AG82" s="303">
        <f>SUM(AC82:AF82)</f>
        <v>838</v>
      </c>
      <c r="AH82" s="231">
        <f>-18-2</f>
        <v>-20</v>
      </c>
      <c r="AI82" s="231">
        <v>36</v>
      </c>
      <c r="AJ82" s="231">
        <v>8</v>
      </c>
      <c r="AK82" s="231">
        <v>0</v>
      </c>
      <c r="AL82" s="303">
        <f t="shared" si="307"/>
        <v>24</v>
      </c>
      <c r="AM82" s="231">
        <f>48-13</f>
        <v>35</v>
      </c>
      <c r="AN82" s="231">
        <v>42</v>
      </c>
      <c r="AO82" s="231">
        <v>7</v>
      </c>
      <c r="AP82" s="231">
        <v>0</v>
      </c>
      <c r="AQ82" s="303">
        <f>SUM(AM82:AP82)</f>
        <v>84</v>
      </c>
      <c r="AR82" s="303">
        <f>(AG82)+(AL82*6)+AQ82*6</f>
        <v>1486</v>
      </c>
      <c r="AS82" s="303">
        <f>AG82/6+AL82+AQ82</f>
        <v>247.66666666666666</v>
      </c>
      <c r="AT82" s="232">
        <v>1356</v>
      </c>
      <c r="AU82" s="232">
        <v>237</v>
      </c>
      <c r="AV82" s="232">
        <v>345</v>
      </c>
      <c r="AW82" s="232">
        <v>1034</v>
      </c>
      <c r="AX82" s="215">
        <f t="shared" si="164"/>
        <v>2972</v>
      </c>
      <c r="AY82" s="216">
        <f>SUM(AX80:AX82)</f>
        <v>18602</v>
      </c>
      <c r="AZ82" s="216">
        <f>SUM(AS80:AS82)</f>
        <v>308.16666666666663</v>
      </c>
      <c r="BA82" s="216">
        <f>SUM(AR80:AR82)</f>
        <v>1849</v>
      </c>
      <c r="BB82" s="215">
        <f>AY82/AZ82</f>
        <v>60.363439697133593</v>
      </c>
      <c r="BC82" s="215">
        <f>AY82/BA82</f>
        <v>10.060573282855598</v>
      </c>
      <c r="BD82" s="230"/>
      <c r="BE82" s="212">
        <v>1123</v>
      </c>
      <c r="BF82" s="200">
        <v>0</v>
      </c>
      <c r="BG82" s="200">
        <v>148</v>
      </c>
      <c r="BH82" s="212">
        <f>IF(BG82=0,BF82*P82*BR82/BS82,BG82)</f>
        <v>148</v>
      </c>
      <c r="BI82" s="200">
        <v>-159</v>
      </c>
      <c r="BJ82" s="200">
        <v>0</v>
      </c>
      <c r="BK82" s="212">
        <f>IF(BJ82=0,BI82*P82*BR82/BS82,BJ82)</f>
        <v>-49.352029600044652</v>
      </c>
      <c r="BL82" s="200">
        <v>0</v>
      </c>
      <c r="BM82" s="200">
        <v>200</v>
      </c>
      <c r="BN82" s="212">
        <f>IF(BM82=0,BL82*P82*BR82/BS82,BM82)</f>
        <v>200</v>
      </c>
      <c r="BO82" s="200">
        <v>488</v>
      </c>
      <c r="BP82" s="200">
        <v>0</v>
      </c>
      <c r="BQ82" s="212">
        <f>IF(BP82=0,BO82*P82*BR82/BS82,BP82)</f>
        <v>151.47038015611187</v>
      </c>
      <c r="BR82" s="200">
        <v>4182</v>
      </c>
      <c r="BS82" s="200">
        <f>12197+201-1893</f>
        <v>10505</v>
      </c>
      <c r="BT82" s="203"/>
      <c r="BU82" s="220">
        <f t="shared" si="320"/>
        <v>1573.1183505560673</v>
      </c>
      <c r="BV82" s="215">
        <f t="shared" si="321"/>
        <v>9.0409100606670538</v>
      </c>
      <c r="BW82" s="215">
        <f t="shared" si="322"/>
        <v>1.5068183434445088</v>
      </c>
      <c r="BX82" s="230"/>
      <c r="BY82" s="304">
        <f t="shared" si="323"/>
        <v>4545.1183505560675</v>
      </c>
      <c r="BZ82" s="305">
        <f>(BY82*0.1)</f>
        <v>454.51183505560675</v>
      </c>
      <c r="CA82" s="306">
        <f t="shared" si="325"/>
        <v>0.15293130385451101</v>
      </c>
      <c r="CB82" s="305">
        <f t="shared" si="326"/>
        <v>2.6121369830781997</v>
      </c>
      <c r="CC82" s="305">
        <f t="shared" si="327"/>
        <v>0.43535616384636661</v>
      </c>
      <c r="CD82" s="305">
        <f>+$AY82/G82</f>
        <v>106.9080459770115</v>
      </c>
      <c r="CE82" s="305">
        <f>+$AY82/H82</f>
        <v>17.81800766283525</v>
      </c>
      <c r="CF82" s="305">
        <f t="shared" si="329"/>
        <v>69.404349757800645</v>
      </c>
      <c r="CG82" s="305">
        <f>CB82+CF82</f>
        <v>72.016486740878847</v>
      </c>
      <c r="CH82" s="305">
        <f>CF82+CD82</f>
        <v>176.31239573481213</v>
      </c>
      <c r="CI82" s="305">
        <f t="shared" si="332"/>
        <v>11.567391626300108</v>
      </c>
      <c r="CJ82" s="305">
        <f>+CI82+CC82</f>
        <v>12.002747790146474</v>
      </c>
      <c r="CK82" s="305">
        <f>+CI82+CE82</f>
        <v>29.385399289135357</v>
      </c>
      <c r="CL82" s="307">
        <v>4</v>
      </c>
      <c r="CM82" s="305">
        <f t="shared" si="335"/>
        <v>6.9404349757800645</v>
      </c>
      <c r="CN82" s="305">
        <f t="shared" si="336"/>
        <v>1207.6356857857313</v>
      </c>
      <c r="CO82" s="308">
        <f t="shared" si="337"/>
        <v>0.4063377139252124</v>
      </c>
      <c r="CP82" s="309"/>
      <c r="CQ82" s="329">
        <v>3437</v>
      </c>
      <c r="CR82" s="325"/>
      <c r="CS82" s="313">
        <f>+CT82*CU82</f>
        <v>239.48197499999998</v>
      </c>
      <c r="CT82" s="313">
        <f>1.581*91.25</f>
        <v>144.26624999999999</v>
      </c>
      <c r="CU82" s="314">
        <v>1.66</v>
      </c>
      <c r="CV82" s="313">
        <f>+CW82*CX82</f>
        <v>228.51554999999999</v>
      </c>
      <c r="CW82" s="313">
        <f>1.527*91.25</f>
        <v>139.33875</v>
      </c>
      <c r="CX82" s="314">
        <v>1.64</v>
      </c>
      <c r="CY82" s="313">
        <f>+CZ82*DA82</f>
        <v>265.79300000000006</v>
      </c>
      <c r="CZ82" s="313">
        <f>1.324*91.25</f>
        <v>120.81500000000001</v>
      </c>
      <c r="DA82" s="314">
        <v>2.2000000000000002</v>
      </c>
      <c r="DB82" s="313">
        <f t="shared" si="343"/>
        <v>240.30947499999996</v>
      </c>
      <c r="DC82" s="313">
        <f t="shared" si="343"/>
        <v>105.57999999999997</v>
      </c>
      <c r="DD82" s="314">
        <f>+DB82/DC82</f>
        <v>2.2760889846561851</v>
      </c>
      <c r="DE82" s="315">
        <f>+DF82*DG82</f>
        <v>974.09999999999991</v>
      </c>
      <c r="DF82" s="315">
        <v>510</v>
      </c>
      <c r="DG82" s="316">
        <v>1.91</v>
      </c>
      <c r="DH82" s="317">
        <f>+DI82*DJ82</f>
        <v>446.27819999999997</v>
      </c>
      <c r="DI82" s="317">
        <f>0.184*91.25</f>
        <v>16.79</v>
      </c>
      <c r="DJ82" s="318">
        <v>26.58</v>
      </c>
      <c r="DK82" s="317">
        <f>+DL82*DM82</f>
        <v>517.86199999999997</v>
      </c>
      <c r="DL82" s="317">
        <f>0.16*91.25</f>
        <v>14.6</v>
      </c>
      <c r="DM82" s="318">
        <v>35.47</v>
      </c>
      <c r="DN82" s="317">
        <f>+DO82*DP82</f>
        <v>517.24879999999996</v>
      </c>
      <c r="DO82" s="317">
        <f>0.136*91.25</f>
        <v>12.41</v>
      </c>
      <c r="DP82" s="318">
        <v>41.68</v>
      </c>
      <c r="DQ82" s="317">
        <f>+DT82-DH82-DK82-DN82</f>
        <v>209.67100000000005</v>
      </c>
      <c r="DR82" s="317">
        <f>+DU82-DI82-DL82-DO82</f>
        <v>3.2000000000000011</v>
      </c>
      <c r="DS82" s="318">
        <f>+DQ82/DR82</f>
        <v>65.522187499999987</v>
      </c>
      <c r="DT82" s="319">
        <f>+DU82*DV82</f>
        <v>1691.06</v>
      </c>
      <c r="DU82" s="319">
        <v>47</v>
      </c>
      <c r="DV82" s="320">
        <v>35.979999999999997</v>
      </c>
      <c r="DW82" s="187">
        <f>+DX82*DY82</f>
        <v>85.50855</v>
      </c>
      <c r="DX82" s="187">
        <f>0.137*91.25</f>
        <v>12.501250000000001</v>
      </c>
      <c r="DY82" s="321">
        <v>6.84</v>
      </c>
      <c r="DZ82" s="187">
        <f>+EA82*EB82</f>
        <v>118.22258750000002</v>
      </c>
      <c r="EA82" s="187">
        <f>0.131*91.25</f>
        <v>11.953750000000001</v>
      </c>
      <c r="EB82" s="321">
        <v>9.89</v>
      </c>
      <c r="EC82" s="187">
        <f>+ED82*EE82</f>
        <v>93.951000000000008</v>
      </c>
      <c r="ED82" s="187">
        <f>0.104*91.25</f>
        <v>9.49</v>
      </c>
      <c r="EE82" s="321">
        <v>9.9</v>
      </c>
      <c r="EF82" s="187">
        <f t="shared" si="345"/>
        <v>109.71786249999992</v>
      </c>
      <c r="EG82" s="187">
        <f t="shared" si="345"/>
        <v>8.0549999999999979</v>
      </c>
      <c r="EH82" s="321">
        <f>+EF82/EG82</f>
        <v>13.621087833643694</v>
      </c>
      <c r="EI82" s="322">
        <f>+EJ82*EK82</f>
        <v>407.4</v>
      </c>
      <c r="EJ82" s="322">
        <v>42</v>
      </c>
      <c r="EK82" s="323">
        <v>9.6999999999999993</v>
      </c>
      <c r="EL82" s="345">
        <v>43.2</v>
      </c>
      <c r="EM82" s="345">
        <v>2.52</v>
      </c>
      <c r="EN82" s="345">
        <v>5.04</v>
      </c>
      <c r="EO82" s="332">
        <v>1.99</v>
      </c>
      <c r="EP82" s="332">
        <v>2.15</v>
      </c>
      <c r="EQ82" s="332">
        <v>2.88</v>
      </c>
      <c r="ER82" s="332">
        <v>3.04</v>
      </c>
      <c r="ES82" s="332">
        <v>4.0199999999999996</v>
      </c>
      <c r="ET82" s="332">
        <v>5</v>
      </c>
      <c r="EU82" s="332">
        <v>5.04</v>
      </c>
      <c r="EV82" s="332">
        <v>6.05</v>
      </c>
      <c r="EW82" s="332">
        <v>33.35</v>
      </c>
      <c r="EX82" s="332">
        <v>45.46</v>
      </c>
      <c r="EY82" s="332">
        <v>44.85</v>
      </c>
      <c r="EZ82" s="332">
        <v>49.14</v>
      </c>
    </row>
    <row r="83" spans="1:156" ht="26.25" customHeight="1" x14ac:dyDescent="0.3">
      <c r="A83" s="24" t="s">
        <v>47</v>
      </c>
      <c r="B83" s="24" t="s">
        <v>48</v>
      </c>
      <c r="C83" s="1">
        <v>2007</v>
      </c>
      <c r="D83" s="25">
        <v>491</v>
      </c>
      <c r="E83" s="25">
        <v>5.2</v>
      </c>
      <c r="F83" s="25">
        <v>0</v>
      </c>
      <c r="G83" s="25">
        <f t="shared" si="0"/>
        <v>87.033333333333331</v>
      </c>
      <c r="H83" s="25">
        <f t="shared" si="1"/>
        <v>522.20000000000005</v>
      </c>
      <c r="I83" s="25">
        <v>811</v>
      </c>
      <c r="J83" s="25">
        <v>33</v>
      </c>
      <c r="K83" s="25">
        <v>0</v>
      </c>
      <c r="L83" s="25">
        <f t="shared" si="2"/>
        <v>168.16666666666666</v>
      </c>
      <c r="M83" s="25">
        <f t="shared" si="3"/>
        <v>1009</v>
      </c>
      <c r="N83" s="25">
        <f t="shared" si="309"/>
        <v>255.2</v>
      </c>
      <c r="O83" s="25">
        <f t="shared" si="309"/>
        <v>1531.2</v>
      </c>
      <c r="P83" s="26">
        <f t="shared" si="5"/>
        <v>0.34103970741901779</v>
      </c>
      <c r="Q83" s="26">
        <f t="shared" si="306"/>
        <v>0.94025277671390262</v>
      </c>
      <c r="R83" s="26">
        <f t="shared" si="12"/>
        <v>5.9747223286097287E-2</v>
      </c>
      <c r="S83" s="26">
        <f t="shared" si="13"/>
        <v>0</v>
      </c>
      <c r="T83" s="207">
        <v>21.3</v>
      </c>
      <c r="U83" s="207">
        <v>0</v>
      </c>
      <c r="V83" s="207">
        <v>2640</v>
      </c>
      <c r="W83" s="25">
        <f t="shared" ref="W83:W90" si="346">+T83*6+U83*6+V83</f>
        <v>2767.8</v>
      </c>
      <c r="X83" s="25"/>
      <c r="Y83" s="25">
        <f>+T83+U83+V83/6</f>
        <v>461.3</v>
      </c>
      <c r="Z83" s="25"/>
      <c r="AA83" s="25"/>
      <c r="AB83" s="27"/>
      <c r="AC83" s="28">
        <v>78</v>
      </c>
      <c r="AD83" s="28">
        <v>827</v>
      </c>
      <c r="AE83" s="28">
        <v>211</v>
      </c>
      <c r="AF83" s="28">
        <v>0</v>
      </c>
      <c r="AG83" s="29">
        <f>SUM(AC83:AF83)</f>
        <v>1116</v>
      </c>
      <c r="AH83" s="28">
        <v>3.6</v>
      </c>
      <c r="AI83" s="28">
        <v>5.9</v>
      </c>
      <c r="AJ83" s="28">
        <v>0</v>
      </c>
      <c r="AK83" s="28">
        <v>0</v>
      </c>
      <c r="AL83" s="29">
        <f t="shared" si="307"/>
        <v>9.5</v>
      </c>
      <c r="AM83" s="28">
        <v>0</v>
      </c>
      <c r="AN83" s="28">
        <v>0</v>
      </c>
      <c r="AO83" s="28">
        <v>0</v>
      </c>
      <c r="AP83" s="28">
        <v>0</v>
      </c>
      <c r="AQ83" s="29">
        <f>SUM(AM83:AP83)</f>
        <v>0</v>
      </c>
      <c r="AR83" s="29">
        <f t="shared" si="9"/>
        <v>1173</v>
      </c>
      <c r="AS83" s="29">
        <f t="shared" si="10"/>
        <v>195.5</v>
      </c>
      <c r="AT83" s="30">
        <v>1048</v>
      </c>
      <c r="AU83" s="30">
        <v>1565</v>
      </c>
      <c r="AV83" s="30">
        <v>48</v>
      </c>
      <c r="AW83" s="30">
        <v>1887</v>
      </c>
      <c r="AX83" s="31">
        <f t="shared" si="164"/>
        <v>4548</v>
      </c>
      <c r="AY83" s="25"/>
      <c r="AZ83" s="25"/>
      <c r="BA83" s="25"/>
      <c r="BB83" s="31"/>
      <c r="BC83" s="31"/>
      <c r="BD83" s="27" t="s">
        <v>45</v>
      </c>
      <c r="BE83" s="32"/>
      <c r="BF83" s="33"/>
      <c r="BG83" s="34"/>
      <c r="BH83" s="32"/>
      <c r="BI83" s="33"/>
      <c r="BJ83" s="34"/>
      <c r="BK83" s="32"/>
      <c r="BL83" s="33"/>
      <c r="BM83" s="34"/>
      <c r="BN83" s="32"/>
      <c r="BO83" s="33"/>
      <c r="BP83" s="34"/>
      <c r="BQ83" s="32"/>
      <c r="BR83" s="34">
        <v>0</v>
      </c>
      <c r="BS83" s="34">
        <v>0</v>
      </c>
      <c r="BT83" s="34"/>
      <c r="BU83" s="35"/>
      <c r="BV83" s="31"/>
      <c r="BW83" s="31"/>
      <c r="BX83" s="27"/>
      <c r="BY83" s="88"/>
      <c r="BZ83" s="36"/>
      <c r="CA83" s="36"/>
      <c r="CB83" s="36"/>
      <c r="CC83" s="36"/>
      <c r="CD83" s="36"/>
      <c r="CE83" s="36"/>
      <c r="CF83" s="36"/>
      <c r="CG83" s="36"/>
      <c r="CH83" s="36"/>
      <c r="CI83" s="36"/>
      <c r="CJ83" s="36"/>
      <c r="CK83" s="36"/>
      <c r="CL83" s="37">
        <v>4</v>
      </c>
      <c r="CM83" s="37"/>
      <c r="CN83" s="37"/>
      <c r="CO83" s="37"/>
      <c r="CP83" s="327"/>
      <c r="CQ83" s="327"/>
      <c r="CS83" s="293"/>
      <c r="CT83" s="227"/>
      <c r="CU83" s="227"/>
      <c r="CV83" s="227"/>
      <c r="CW83" s="227"/>
      <c r="CX83" s="227"/>
      <c r="CY83" s="227"/>
      <c r="CZ83" s="227"/>
      <c r="DA83" s="227"/>
      <c r="DB83" s="227"/>
      <c r="DC83" s="227"/>
      <c r="DD83" s="227"/>
      <c r="DE83" s="275"/>
      <c r="DF83" s="275"/>
      <c r="DG83" s="275"/>
      <c r="DH83" s="226"/>
      <c r="DI83" s="226"/>
      <c r="DJ83" s="226"/>
      <c r="DK83" s="226"/>
      <c r="DL83" s="226"/>
      <c r="DM83" s="226"/>
      <c r="DN83" s="226"/>
      <c r="DO83" s="226"/>
      <c r="DP83" s="226"/>
      <c r="DQ83" s="226"/>
      <c r="DR83" s="226"/>
      <c r="DS83" s="226"/>
      <c r="DT83" s="278"/>
      <c r="DU83" s="278"/>
      <c r="DV83" s="278"/>
      <c r="DW83" s="280"/>
      <c r="DX83" s="280"/>
      <c r="DY83" s="280"/>
      <c r="DZ83" s="280"/>
      <c r="EA83" s="280"/>
      <c r="EB83" s="280"/>
      <c r="EC83" s="280"/>
      <c r="ED83" s="280"/>
      <c r="EE83" s="280"/>
      <c r="EF83" s="280"/>
      <c r="EG83" s="280"/>
      <c r="EH83" s="280"/>
      <c r="EI83" s="283"/>
      <c r="EJ83" s="283"/>
      <c r="EK83" s="294"/>
      <c r="EL83" s="343">
        <v>72.34</v>
      </c>
      <c r="EM83" s="343">
        <v>6.97</v>
      </c>
      <c r="EN83" s="343">
        <v>12.91</v>
      </c>
      <c r="EO83" s="116"/>
      <c r="EP83" s="116"/>
      <c r="EQ83" s="116"/>
      <c r="ER83" s="116"/>
      <c r="ES83" s="116"/>
      <c r="ET83" s="116"/>
      <c r="EU83" s="116"/>
      <c r="EV83" s="116"/>
      <c r="EW83" s="116"/>
      <c r="EX83" s="116"/>
      <c r="EY83" s="116"/>
      <c r="EZ83" s="116"/>
    </row>
    <row r="84" spans="1:156" ht="26.25" customHeight="1" x14ac:dyDescent="0.3">
      <c r="A84" s="24" t="s">
        <v>47</v>
      </c>
      <c r="B84" s="24" t="s">
        <v>48</v>
      </c>
      <c r="C84" s="1">
        <v>2008</v>
      </c>
      <c r="D84" s="25">
        <v>598</v>
      </c>
      <c r="E84" s="25">
        <v>4.9000000000000004</v>
      </c>
      <c r="F84" s="25">
        <v>0</v>
      </c>
      <c r="G84" s="25">
        <f t="shared" si="0"/>
        <v>104.56666666666668</v>
      </c>
      <c r="H84" s="25">
        <f t="shared" si="1"/>
        <v>627.4</v>
      </c>
      <c r="I84" s="25">
        <v>807</v>
      </c>
      <c r="J84" s="25">
        <v>32</v>
      </c>
      <c r="K84" s="25">
        <v>0</v>
      </c>
      <c r="L84" s="25">
        <f t="shared" si="2"/>
        <v>166.5</v>
      </c>
      <c r="M84" s="25">
        <f t="shared" si="3"/>
        <v>999</v>
      </c>
      <c r="N84" s="25">
        <f t="shared" si="309"/>
        <v>271.06666666666666</v>
      </c>
      <c r="O84" s="25">
        <f t="shared" si="309"/>
        <v>1626.4</v>
      </c>
      <c r="P84" s="26">
        <f t="shared" si="5"/>
        <v>0.38575996064928675</v>
      </c>
      <c r="Q84" s="26">
        <f t="shared" si="306"/>
        <v>0.95313994262033797</v>
      </c>
      <c r="R84" s="26">
        <f t="shared" si="12"/>
        <v>4.6860057379662097E-2</v>
      </c>
      <c r="S84" s="26">
        <f t="shared" si="13"/>
        <v>0</v>
      </c>
      <c r="T84" s="207">
        <v>17.7</v>
      </c>
      <c r="U84" s="207">
        <v>0</v>
      </c>
      <c r="V84" s="207">
        <v>2111</v>
      </c>
      <c r="W84" s="25">
        <f t="shared" si="346"/>
        <v>2217.1999999999998</v>
      </c>
      <c r="X84" s="25">
        <f t="shared" ref="X84:X91" si="347">W84-W83</f>
        <v>-550.60000000000036</v>
      </c>
      <c r="Y84" s="25">
        <f t="shared" ref="Y84:Y91" si="348">+T84+U84+V84/6</f>
        <v>369.5333333333333</v>
      </c>
      <c r="Z84" s="25">
        <f t="shared" ref="Z84:Z91" si="349">Y84-Y83</f>
        <v>-91.766666666666708</v>
      </c>
      <c r="AA84" s="204">
        <f>+Z84/Y83</f>
        <v>-0.19893055856637049</v>
      </c>
      <c r="AB84" s="27"/>
      <c r="AC84" s="28">
        <v>-166</v>
      </c>
      <c r="AD84" s="28">
        <v>655</v>
      </c>
      <c r="AE84" s="28">
        <v>7</v>
      </c>
      <c r="AF84" s="28">
        <v>0</v>
      </c>
      <c r="AG84" s="29">
        <f t="shared" si="17"/>
        <v>496</v>
      </c>
      <c r="AH84" s="28">
        <v>-3.6</v>
      </c>
      <c r="AI84" s="28">
        <v>3.8</v>
      </c>
      <c r="AJ84" s="28">
        <v>0</v>
      </c>
      <c r="AK84" s="28">
        <v>0</v>
      </c>
      <c r="AL84" s="29">
        <f t="shared" si="307"/>
        <v>0.19999999999999973</v>
      </c>
      <c r="AM84" s="28">
        <v>0</v>
      </c>
      <c r="AN84" s="28">
        <v>0</v>
      </c>
      <c r="AO84" s="28">
        <v>0</v>
      </c>
      <c r="AP84" s="28">
        <v>0</v>
      </c>
      <c r="AQ84" s="29">
        <f t="shared" ref="AQ84:AQ89" si="350">SUM(AM84:AP84)</f>
        <v>0</v>
      </c>
      <c r="AR84" s="29">
        <f>(AG84)+(AL84*6)+AQ84*6</f>
        <v>497.2</v>
      </c>
      <c r="AS84" s="29">
        <f t="shared" si="10"/>
        <v>82.866666666666674</v>
      </c>
      <c r="AT84" s="30">
        <v>1006</v>
      </c>
      <c r="AU84" s="30">
        <v>17</v>
      </c>
      <c r="AV84" s="30">
        <v>197</v>
      </c>
      <c r="AW84" s="30">
        <v>2485</v>
      </c>
      <c r="AX84" s="31">
        <f t="shared" si="164"/>
        <v>3705</v>
      </c>
      <c r="AY84" s="25"/>
      <c r="AZ84" s="25"/>
      <c r="BA84" s="25"/>
      <c r="BC84" s="31"/>
      <c r="BD84" s="27" t="s">
        <v>45</v>
      </c>
      <c r="BE84" s="32"/>
      <c r="BF84" s="33"/>
      <c r="BG84" s="34"/>
      <c r="BH84" s="32"/>
      <c r="BI84" s="33"/>
      <c r="BJ84" s="34"/>
      <c r="BK84" s="32"/>
      <c r="BL84" s="33"/>
      <c r="BM84" s="34"/>
      <c r="BN84" s="32"/>
      <c r="BO84" s="33"/>
      <c r="BP84" s="34"/>
      <c r="BQ84" s="32"/>
      <c r="BR84" s="57">
        <v>0</v>
      </c>
      <c r="BS84" s="57">
        <v>0</v>
      </c>
      <c r="BT84" s="57"/>
      <c r="BU84" s="35"/>
      <c r="BV84" s="31"/>
      <c r="BW84" s="31"/>
      <c r="BX84" s="27"/>
      <c r="BY84" s="88"/>
      <c r="BZ84" s="38"/>
      <c r="CA84" s="36"/>
      <c r="CB84" s="38"/>
      <c r="CC84" s="36"/>
      <c r="CD84" s="36"/>
      <c r="CE84" s="36"/>
      <c r="CF84" s="89"/>
      <c r="CG84" s="36"/>
      <c r="CH84" s="36"/>
      <c r="CI84" s="36"/>
      <c r="CJ84" s="36"/>
      <c r="CK84" s="36"/>
      <c r="CL84" s="37">
        <v>4</v>
      </c>
      <c r="CM84" s="37"/>
      <c r="CN84" s="38"/>
      <c r="CO84" s="38"/>
      <c r="CP84" s="327"/>
      <c r="CQ84" s="327"/>
      <c r="CS84" s="271"/>
      <c r="CT84" s="133"/>
      <c r="CU84" s="133"/>
      <c r="CV84" s="133"/>
      <c r="CW84" s="133"/>
      <c r="CX84" s="133"/>
      <c r="CY84" s="133"/>
      <c r="CZ84" s="133"/>
      <c r="DA84" s="133"/>
      <c r="DB84" s="133"/>
      <c r="DC84" s="133"/>
      <c r="DD84" s="133"/>
      <c r="DE84" s="273"/>
      <c r="DF84" s="273"/>
      <c r="DG84" s="273"/>
      <c r="DH84" s="132"/>
      <c r="DI84" s="132"/>
      <c r="DJ84" s="132"/>
      <c r="DK84" s="132"/>
      <c r="DL84" s="132"/>
      <c r="DM84" s="132"/>
      <c r="DN84" s="132"/>
      <c r="DO84" s="132"/>
      <c r="DP84" s="132"/>
      <c r="DQ84" s="132"/>
      <c r="DR84" s="132"/>
      <c r="DS84" s="132"/>
      <c r="DT84" s="276"/>
      <c r="DU84" s="276"/>
      <c r="DV84" s="276"/>
      <c r="DW84" s="279"/>
      <c r="DX84" s="279"/>
      <c r="DY84" s="279"/>
      <c r="DZ84" s="279"/>
      <c r="EA84" s="279"/>
      <c r="EB84" s="279"/>
      <c r="EC84" s="279"/>
      <c r="ED84" s="279"/>
      <c r="EE84" s="279"/>
      <c r="EF84" s="279"/>
      <c r="EG84" s="279"/>
      <c r="EH84" s="279"/>
      <c r="EI84" s="281"/>
      <c r="EJ84" s="281"/>
      <c r="EK84" s="295"/>
      <c r="EL84" s="343">
        <v>99.67</v>
      </c>
      <c r="EM84" s="343">
        <v>8.86</v>
      </c>
      <c r="EN84" s="343">
        <v>15.2</v>
      </c>
      <c r="EO84" s="116"/>
      <c r="EP84" s="116"/>
      <c r="EQ84" s="116"/>
      <c r="ER84" s="116"/>
      <c r="ES84" s="116"/>
      <c r="ET84" s="116"/>
      <c r="EU84" s="116"/>
      <c r="EV84" s="116"/>
      <c r="EW84" s="116"/>
      <c r="EX84" s="116"/>
      <c r="EY84" s="116"/>
      <c r="EZ84" s="116"/>
    </row>
    <row r="85" spans="1:156" ht="26.25" customHeight="1" x14ac:dyDescent="0.3">
      <c r="A85" s="24" t="s">
        <v>47</v>
      </c>
      <c r="B85" s="24" t="s">
        <v>48</v>
      </c>
      <c r="C85" s="1">
        <v>2009</v>
      </c>
      <c r="D85" s="25">
        <v>590</v>
      </c>
      <c r="E85" s="25">
        <v>4.0999999999999996</v>
      </c>
      <c r="F85" s="25">
        <v>0</v>
      </c>
      <c r="G85" s="25">
        <f t="shared" si="0"/>
        <v>102.43333333333332</v>
      </c>
      <c r="H85" s="25">
        <f t="shared" si="1"/>
        <v>614.6</v>
      </c>
      <c r="I85" s="25">
        <v>725</v>
      </c>
      <c r="J85" s="25">
        <v>27.2</v>
      </c>
      <c r="K85" s="25">
        <v>0</v>
      </c>
      <c r="L85" s="25">
        <f t="shared" si="2"/>
        <v>148.03333333333333</v>
      </c>
      <c r="M85" s="25">
        <f t="shared" si="3"/>
        <v>888.2</v>
      </c>
      <c r="N85" s="25">
        <f t="shared" si="309"/>
        <v>250.46666666666664</v>
      </c>
      <c r="O85" s="25">
        <f t="shared" si="309"/>
        <v>1502.8000000000002</v>
      </c>
      <c r="P85" s="26">
        <f t="shared" si="5"/>
        <v>0.40896992281075323</v>
      </c>
      <c r="Q85" s="26">
        <f t="shared" si="306"/>
        <v>0.95997396680767977</v>
      </c>
      <c r="R85" s="26">
        <f t="shared" si="12"/>
        <v>4.0026033192320211E-2</v>
      </c>
      <c r="S85" s="26">
        <f t="shared" si="13"/>
        <v>0</v>
      </c>
      <c r="T85" s="207">
        <v>15.4</v>
      </c>
      <c r="U85" s="207">
        <v>0</v>
      </c>
      <c r="V85" s="207">
        <v>2142</v>
      </c>
      <c r="W85" s="25">
        <f t="shared" si="346"/>
        <v>2234.4</v>
      </c>
      <c r="X85" s="25">
        <f t="shared" si="347"/>
        <v>17.200000000000273</v>
      </c>
      <c r="Y85" s="25">
        <f t="shared" si="348"/>
        <v>372.4</v>
      </c>
      <c r="Z85" s="25">
        <f t="shared" si="349"/>
        <v>2.8666666666666742</v>
      </c>
      <c r="AA85" s="204">
        <f>+Z85/Y84</f>
        <v>7.7575320223705786E-3</v>
      </c>
      <c r="AB85" s="27"/>
      <c r="AC85" s="28">
        <v>-845</v>
      </c>
      <c r="AD85" s="28">
        <v>1406</v>
      </c>
      <c r="AE85" s="28">
        <v>0</v>
      </c>
      <c r="AF85" s="28">
        <v>0</v>
      </c>
      <c r="AG85" s="29">
        <f t="shared" si="17"/>
        <v>561</v>
      </c>
      <c r="AH85" s="28">
        <v>-12.6</v>
      </c>
      <c r="AI85" s="28">
        <v>6.5</v>
      </c>
      <c r="AJ85" s="28">
        <v>0</v>
      </c>
      <c r="AK85" s="28">
        <v>0</v>
      </c>
      <c r="AL85" s="29">
        <f t="shared" si="307"/>
        <v>-6.1</v>
      </c>
      <c r="AM85" s="28">
        <v>0</v>
      </c>
      <c r="AN85" s="28">
        <v>0</v>
      </c>
      <c r="AO85" s="28">
        <v>0</v>
      </c>
      <c r="AP85" s="28">
        <v>0</v>
      </c>
      <c r="AQ85" s="29">
        <f t="shared" si="350"/>
        <v>0</v>
      </c>
      <c r="AR85" s="29">
        <f>(AG85)+(AL85*6)+AQ85*6</f>
        <v>524.4</v>
      </c>
      <c r="AS85" s="29">
        <f t="shared" si="10"/>
        <v>87.4</v>
      </c>
      <c r="AT85" s="30">
        <v>46</v>
      </c>
      <c r="AU85" s="30">
        <v>0</v>
      </c>
      <c r="AV85" s="30">
        <v>133</v>
      </c>
      <c r="AW85" s="30">
        <v>1688</v>
      </c>
      <c r="AX85" s="31">
        <f t="shared" si="164"/>
        <v>1867</v>
      </c>
      <c r="AY85" s="25">
        <f t="shared" ref="AY85:AY90" si="351">SUM(AX83:AX85)</f>
        <v>10120</v>
      </c>
      <c r="AZ85" s="25">
        <f t="shared" ref="AZ85:AZ91" si="352">SUM(AS83:AS85)</f>
        <v>365.76666666666665</v>
      </c>
      <c r="BA85" s="25">
        <f t="shared" ref="BA85:BA91" si="353">SUM(AR83:AR85)</f>
        <v>2194.6</v>
      </c>
      <c r="BB85" s="31">
        <f t="shared" ref="BB85:BB90" si="354">AY85/AZ85</f>
        <v>27.667912147999637</v>
      </c>
      <c r="BC85" s="31">
        <f t="shared" ref="BC85:BC90" si="355">AY85/BA85</f>
        <v>4.6113186913332731</v>
      </c>
      <c r="BD85" s="27" t="s">
        <v>45</v>
      </c>
      <c r="BE85" s="32">
        <v>964</v>
      </c>
      <c r="BF85" s="34">
        <v>477</v>
      </c>
      <c r="BG85" s="34">
        <v>0</v>
      </c>
      <c r="BH85" s="32">
        <f>IF(BG85=0,BF85*$BT85,BG85)</f>
        <v>195.0786531807293</v>
      </c>
      <c r="BI85" s="34">
        <v>766</v>
      </c>
      <c r="BJ85" s="34">
        <v>0</v>
      </c>
      <c r="BK85" s="32">
        <f>IF(BJ85=0,BI85*$BT85,BJ85)</f>
        <v>313.27096087303704</v>
      </c>
      <c r="BL85" s="34">
        <v>0</v>
      </c>
      <c r="BM85" s="34">
        <v>118</v>
      </c>
      <c r="BN85" s="32">
        <f>IF(BM85=0,BL85*$BT85,BM85)</f>
        <v>118</v>
      </c>
      <c r="BO85" s="34">
        <v>533</v>
      </c>
      <c r="BP85" s="34">
        <v>0</v>
      </c>
      <c r="BQ85" s="32">
        <f>IF(BP85=0,BO85*$BT85,BP85)</f>
        <v>217.98096885813149</v>
      </c>
      <c r="BR85" s="34">
        <v>12122</v>
      </c>
      <c r="BS85" s="34">
        <v>12122</v>
      </c>
      <c r="BT85" s="201">
        <f t="shared" ref="BT85:BT91" si="356">+P85*BR85/BS85</f>
        <v>0.40896992281075328</v>
      </c>
      <c r="BU85" s="35">
        <f t="shared" ref="BU85:BU91" si="357">BQ85+BN85+BK85+BH85+BE85</f>
        <v>1808.3305829118979</v>
      </c>
      <c r="BV85" s="31">
        <f t="shared" ref="BV85:BV91" si="358">BU85/G85</f>
        <v>17.653731691297409</v>
      </c>
      <c r="BW85" s="31">
        <f t="shared" ref="BW85:BW91" si="359">BU85/H85</f>
        <v>2.9422886152162344</v>
      </c>
      <c r="BX85" s="27" t="s">
        <v>49</v>
      </c>
      <c r="BY85" s="90">
        <f t="shared" ref="BY85:BY91" si="360">BU85+AX85</f>
        <v>3675.3305829118981</v>
      </c>
      <c r="BZ85" s="38">
        <f t="shared" ref="BZ85:BZ90" si="361">(BY85*0.1)</f>
        <v>367.53305829118983</v>
      </c>
      <c r="CA85" s="140">
        <f t="shared" ref="CA85:CA91" si="362">+BZ85/AX85</f>
        <v>0.19685755666373317</v>
      </c>
      <c r="CB85" s="38">
        <f t="shared" ref="CB85:CB91" si="363">BZ85/G85</f>
        <v>3.588022046448323</v>
      </c>
      <c r="CC85" s="38">
        <f t="shared" ref="CC85:CC91" si="364">BZ85/H85</f>
        <v>0.59800367440805369</v>
      </c>
      <c r="CD85" s="38">
        <f t="shared" ref="CD85:CE91" si="365">+$AX85/G85</f>
        <v>18.226488773185814</v>
      </c>
      <c r="CE85" s="38">
        <f t="shared" si="365"/>
        <v>3.037748128864302</v>
      </c>
      <c r="CF85" s="38">
        <f t="shared" ref="CF85:CF91" si="366">BB85+BV85</f>
        <v>45.321643839297046</v>
      </c>
      <c r="CG85" s="38">
        <f t="shared" ref="CG85:CG90" si="367">CB85+CF85</f>
        <v>48.909665885745369</v>
      </c>
      <c r="CH85" s="38">
        <f t="shared" ref="CH85:CH90" si="368">CF85+CD85</f>
        <v>63.54813261248286</v>
      </c>
      <c r="CI85" s="38">
        <f t="shared" ref="CI85:CI91" si="369">+BC85+BW85</f>
        <v>7.5536073065495071</v>
      </c>
      <c r="CJ85" s="38">
        <f t="shared" ref="CJ85:CJ90" si="370">+CI85+CC85</f>
        <v>8.1516109809575603</v>
      </c>
      <c r="CK85" s="38">
        <f t="shared" ref="CK85:CK90" si="371">+CI85+CE85</f>
        <v>10.59135543541381</v>
      </c>
      <c r="CL85" s="37">
        <v>4</v>
      </c>
      <c r="CM85" s="38">
        <f t="shared" ref="CM85:CM91" si="372">+CF85/10</f>
        <v>4.5321643839297048</v>
      </c>
      <c r="CN85" s="38">
        <f t="shared" ref="CN85:CN91" si="373">+CM85*G85</f>
        <v>464.24470506053274</v>
      </c>
      <c r="CO85" s="145">
        <f t="shared" ref="CO85:CO91" si="374">+CN85/AX85</f>
        <v>0.24865811733290452</v>
      </c>
      <c r="CP85" s="62"/>
      <c r="CQ85" s="327">
        <v>1146</v>
      </c>
      <c r="CS85" s="271"/>
      <c r="CT85" s="133"/>
      <c r="CU85" s="133"/>
      <c r="CV85" s="133"/>
      <c r="CW85" s="133"/>
      <c r="CX85" s="133"/>
      <c r="CY85" s="133"/>
      <c r="CZ85" s="133"/>
      <c r="DA85" s="133"/>
      <c r="DB85" s="133"/>
      <c r="DC85" s="133"/>
      <c r="DD85" s="133"/>
      <c r="DE85" s="273"/>
      <c r="DF85" s="273"/>
      <c r="DG85" s="273"/>
      <c r="DH85" s="132"/>
      <c r="DI85" s="132"/>
      <c r="DJ85" s="132"/>
      <c r="DK85" s="132"/>
      <c r="DL85" s="132"/>
      <c r="DM85" s="132"/>
      <c r="DN85" s="132"/>
      <c r="DO85" s="132"/>
      <c r="DP85" s="132"/>
      <c r="DQ85" s="132"/>
      <c r="DR85" s="132"/>
      <c r="DS85" s="132"/>
      <c r="DT85" s="276"/>
      <c r="DU85" s="276"/>
      <c r="DV85" s="276"/>
      <c r="DW85" s="279"/>
      <c r="DX85" s="279"/>
      <c r="DY85" s="279"/>
      <c r="DZ85" s="279"/>
      <c r="EA85" s="279"/>
      <c r="EB85" s="279"/>
      <c r="EC85" s="279"/>
      <c r="ED85" s="279"/>
      <c r="EE85" s="279"/>
      <c r="EF85" s="279"/>
      <c r="EG85" s="279"/>
      <c r="EH85" s="279"/>
      <c r="EI85" s="281"/>
      <c r="EJ85" s="281"/>
      <c r="EK85" s="295"/>
      <c r="EL85" s="343">
        <v>61.95</v>
      </c>
      <c r="EM85" s="343">
        <v>3.94</v>
      </c>
      <c r="EN85" s="343">
        <v>8.99</v>
      </c>
      <c r="EO85" s="116"/>
      <c r="EP85" s="116"/>
      <c r="EQ85" s="116"/>
      <c r="ER85" s="116"/>
      <c r="ES85" s="116"/>
      <c r="ET85" s="116"/>
      <c r="EU85" s="116"/>
      <c r="EV85" s="116"/>
      <c r="EW85" s="116"/>
      <c r="EX85" s="116"/>
      <c r="EY85" s="116"/>
      <c r="EZ85" s="116"/>
    </row>
    <row r="86" spans="1:156" ht="26.25" customHeight="1" x14ac:dyDescent="0.3">
      <c r="A86" s="24" t="s">
        <v>47</v>
      </c>
      <c r="B86" s="24" t="s">
        <v>48</v>
      </c>
      <c r="C86" s="1">
        <v>2010</v>
      </c>
      <c r="D86" s="25">
        <v>679</v>
      </c>
      <c r="E86" s="25">
        <v>3.5</v>
      </c>
      <c r="F86" s="25">
        <v>0</v>
      </c>
      <c r="G86" s="25">
        <f t="shared" si="0"/>
        <v>116.66666666666667</v>
      </c>
      <c r="H86" s="25">
        <f t="shared" si="1"/>
        <v>700</v>
      </c>
      <c r="I86" s="25">
        <v>483</v>
      </c>
      <c r="J86" s="25">
        <v>4.8</v>
      </c>
      <c r="K86" s="25">
        <v>0</v>
      </c>
      <c r="L86" s="25">
        <f t="shared" si="2"/>
        <v>85.3</v>
      </c>
      <c r="M86" s="25">
        <f t="shared" si="3"/>
        <v>511.8</v>
      </c>
      <c r="N86" s="25">
        <f t="shared" si="309"/>
        <v>201.96666666666667</v>
      </c>
      <c r="O86" s="25">
        <f t="shared" si="309"/>
        <v>1211.8</v>
      </c>
      <c r="P86" s="26">
        <f t="shared" si="5"/>
        <v>0.57765307806568744</v>
      </c>
      <c r="Q86" s="26">
        <f t="shared" si="306"/>
        <v>0.97</v>
      </c>
      <c r="R86" s="26">
        <f t="shared" si="12"/>
        <v>0.03</v>
      </c>
      <c r="S86" s="26">
        <f t="shared" si="13"/>
        <v>0</v>
      </c>
      <c r="T86" s="207">
        <v>14.2</v>
      </c>
      <c r="U86" s="207">
        <v>0</v>
      </c>
      <c r="V86" s="207">
        <v>3505</v>
      </c>
      <c r="W86" s="25">
        <f t="shared" si="346"/>
        <v>3590.2</v>
      </c>
      <c r="X86" s="25">
        <f t="shared" si="347"/>
        <v>1355.7999999999997</v>
      </c>
      <c r="Y86" s="25">
        <f t="shared" si="348"/>
        <v>598.36666666666667</v>
      </c>
      <c r="Z86" s="25">
        <f t="shared" si="349"/>
        <v>225.9666666666667</v>
      </c>
      <c r="AA86" s="204">
        <f t="shared" ref="AA86:AA91" si="375">+Z86/Y85</f>
        <v>0.60678481919083438</v>
      </c>
      <c r="AB86" s="27"/>
      <c r="AC86" s="28">
        <v>517</v>
      </c>
      <c r="AD86" s="28">
        <v>1808</v>
      </c>
      <c r="AE86" s="28">
        <v>81</v>
      </c>
      <c r="AF86" s="28">
        <v>0</v>
      </c>
      <c r="AG86" s="29">
        <f t="shared" si="17"/>
        <v>2406</v>
      </c>
      <c r="AH86" s="28">
        <v>0.2</v>
      </c>
      <c r="AI86" s="28">
        <v>4.7</v>
      </c>
      <c r="AJ86" s="28">
        <v>0.5</v>
      </c>
      <c r="AK86" s="28">
        <v>0</v>
      </c>
      <c r="AL86" s="29">
        <f t="shared" si="307"/>
        <v>5.4</v>
      </c>
      <c r="AM86" s="28">
        <v>0</v>
      </c>
      <c r="AN86" s="28">
        <v>0</v>
      </c>
      <c r="AO86" s="28">
        <v>0</v>
      </c>
      <c r="AP86" s="28">
        <v>0</v>
      </c>
      <c r="AQ86" s="29">
        <f t="shared" si="350"/>
        <v>0</v>
      </c>
      <c r="AR86" s="29">
        <f>(AG86)+(AL86*6)+AQ86*6</f>
        <v>2438.4</v>
      </c>
      <c r="AS86" s="29">
        <f t="shared" si="10"/>
        <v>406.4</v>
      </c>
      <c r="AT86" s="30">
        <v>97</v>
      </c>
      <c r="AU86" s="30">
        <v>44</v>
      </c>
      <c r="AV86" s="30">
        <v>198</v>
      </c>
      <c r="AW86" s="30">
        <v>2301</v>
      </c>
      <c r="AX86" s="31">
        <f t="shared" si="164"/>
        <v>2640</v>
      </c>
      <c r="AY86" s="25">
        <f t="shared" si="351"/>
        <v>8212</v>
      </c>
      <c r="AZ86" s="25">
        <f t="shared" si="352"/>
        <v>576.66666666666663</v>
      </c>
      <c r="BA86" s="25">
        <f t="shared" si="353"/>
        <v>3460</v>
      </c>
      <c r="BB86" s="31">
        <f t="shared" si="354"/>
        <v>14.240462427745666</v>
      </c>
      <c r="BC86" s="31">
        <f t="shared" si="355"/>
        <v>2.3734104046242774</v>
      </c>
      <c r="BD86" s="27" t="s">
        <v>45</v>
      </c>
      <c r="BE86" s="32">
        <f>662+468</f>
        <v>1130</v>
      </c>
      <c r="BF86" s="34">
        <v>361</v>
      </c>
      <c r="BG86" s="34">
        <v>0</v>
      </c>
      <c r="BH86" s="32">
        <f t="shared" ref="BH86:BH91" si="376">IF(BG86=0,BF86*$BT86,BG86)</f>
        <v>208.53276118171317</v>
      </c>
      <c r="BI86" s="34">
        <v>2024</v>
      </c>
      <c r="BJ86" s="34">
        <v>0</v>
      </c>
      <c r="BK86" s="32">
        <f t="shared" ref="BK86:BK91" si="377">IF(BJ86=0,BI86*$BT86,BJ86)</f>
        <v>1169.1698300049513</v>
      </c>
      <c r="BL86" s="34">
        <v>0</v>
      </c>
      <c r="BM86" s="34">
        <v>209</v>
      </c>
      <c r="BN86" s="32">
        <f t="shared" ref="BN86:BN91" si="378">IF(BM86=0,BL86*$BT86,BM86)</f>
        <v>209</v>
      </c>
      <c r="BO86" s="34">
        <v>485</v>
      </c>
      <c r="BP86" s="34">
        <v>0</v>
      </c>
      <c r="BQ86" s="32">
        <f t="shared" ref="BQ86:BQ91" si="379">IF(BP86=0,BO86*$BT86,BP86)</f>
        <v>280.16174286185839</v>
      </c>
      <c r="BR86" s="34">
        <v>7104</v>
      </c>
      <c r="BS86" s="34">
        <v>7104</v>
      </c>
      <c r="BT86" s="201">
        <f t="shared" si="356"/>
        <v>0.57765307806568744</v>
      </c>
      <c r="BU86" s="35">
        <f t="shared" si="357"/>
        <v>2996.8643340485228</v>
      </c>
      <c r="BV86" s="31">
        <f t="shared" si="358"/>
        <v>25.687408577558767</v>
      </c>
      <c r="BW86" s="31">
        <f t="shared" si="359"/>
        <v>4.2812347629264611</v>
      </c>
      <c r="BX86" s="27" t="s">
        <v>49</v>
      </c>
      <c r="BY86" s="90">
        <f t="shared" si="360"/>
        <v>5636.8643340485232</v>
      </c>
      <c r="BZ86" s="38">
        <f t="shared" si="361"/>
        <v>563.68643340485232</v>
      </c>
      <c r="CA86" s="140">
        <f t="shared" si="362"/>
        <v>0.21351758841092891</v>
      </c>
      <c r="CB86" s="38">
        <f t="shared" si="363"/>
        <v>4.8315980006130195</v>
      </c>
      <c r="CC86" s="38">
        <f t="shared" si="364"/>
        <v>0.80526633343550336</v>
      </c>
      <c r="CD86" s="38">
        <f t="shared" si="365"/>
        <v>22.628571428571426</v>
      </c>
      <c r="CE86" s="38">
        <f t="shared" si="365"/>
        <v>3.7714285714285714</v>
      </c>
      <c r="CF86" s="38">
        <f t="shared" si="366"/>
        <v>39.927871005304432</v>
      </c>
      <c r="CG86" s="38">
        <f t="shared" si="367"/>
        <v>44.759469005917452</v>
      </c>
      <c r="CH86" s="38">
        <f t="shared" si="368"/>
        <v>62.556442433875858</v>
      </c>
      <c r="CI86" s="38">
        <f t="shared" si="369"/>
        <v>6.6546451675507381</v>
      </c>
      <c r="CJ86" s="38">
        <f t="shared" si="370"/>
        <v>7.4599115009862418</v>
      </c>
      <c r="CK86" s="38">
        <f t="shared" si="371"/>
        <v>10.426073738979309</v>
      </c>
      <c r="CL86" s="37">
        <v>4</v>
      </c>
      <c r="CM86" s="38">
        <f t="shared" si="372"/>
        <v>3.9927871005304434</v>
      </c>
      <c r="CN86" s="38">
        <f t="shared" si="373"/>
        <v>465.82516172855173</v>
      </c>
      <c r="CO86" s="145">
        <f t="shared" si="374"/>
        <v>0.1764489248971787</v>
      </c>
      <c r="CP86" s="63"/>
      <c r="CQ86" s="327">
        <v>1044</v>
      </c>
      <c r="CS86" s="271"/>
      <c r="CT86" s="133"/>
      <c r="CU86" s="133"/>
      <c r="CV86" s="133"/>
      <c r="CW86" s="133"/>
      <c r="CX86" s="133"/>
      <c r="CY86" s="133"/>
      <c r="CZ86" s="133"/>
      <c r="DA86" s="133"/>
      <c r="DB86" s="133"/>
      <c r="DC86" s="133"/>
      <c r="DD86" s="133"/>
      <c r="DE86" s="273"/>
      <c r="DF86" s="273"/>
      <c r="DG86" s="273"/>
      <c r="DH86" s="132"/>
      <c r="DI86" s="132"/>
      <c r="DJ86" s="132"/>
      <c r="DK86" s="132"/>
      <c r="DL86" s="132"/>
      <c r="DM86" s="132"/>
      <c r="DN86" s="132"/>
      <c r="DO86" s="132"/>
      <c r="DP86" s="132"/>
      <c r="DQ86" s="132"/>
      <c r="DR86" s="132"/>
      <c r="DS86" s="132"/>
      <c r="DT86" s="276"/>
      <c r="DU86" s="276"/>
      <c r="DV86" s="276"/>
      <c r="DW86" s="279"/>
      <c r="DX86" s="279"/>
      <c r="DY86" s="279"/>
      <c r="DZ86" s="279"/>
      <c r="EA86" s="279"/>
      <c r="EB86" s="279"/>
      <c r="EC86" s="279"/>
      <c r="ED86" s="279"/>
      <c r="EE86" s="279"/>
      <c r="EF86" s="279"/>
      <c r="EG86" s="279"/>
      <c r="EH86" s="279"/>
      <c r="EI86" s="281"/>
      <c r="EJ86" s="281"/>
      <c r="EK86" s="295"/>
      <c r="EL86" s="343">
        <v>79.48</v>
      </c>
      <c r="EM86" s="343">
        <v>4.37</v>
      </c>
      <c r="EN86" s="343">
        <v>11.83</v>
      </c>
      <c r="EO86" s="116"/>
      <c r="EP86" s="116"/>
      <c r="EQ86" s="116"/>
      <c r="ER86" s="116"/>
      <c r="ES86" s="116"/>
      <c r="ET86" s="116"/>
      <c r="EU86" s="116"/>
      <c r="EV86" s="116"/>
      <c r="EW86" s="116"/>
      <c r="EX86" s="116"/>
      <c r="EY86" s="116"/>
      <c r="EZ86" s="116"/>
    </row>
    <row r="87" spans="1:156" ht="26.25" customHeight="1" x14ac:dyDescent="0.3">
      <c r="A87" s="24" t="s">
        <v>47</v>
      </c>
      <c r="B87" s="24" t="s">
        <v>48</v>
      </c>
      <c r="C87" s="1">
        <v>2011</v>
      </c>
      <c r="D87" s="25">
        <v>685</v>
      </c>
      <c r="E87" s="25">
        <v>3.5</v>
      </c>
      <c r="F87" s="25">
        <v>0</v>
      </c>
      <c r="G87" s="25">
        <f>D87/6+E87+F87</f>
        <v>117.66666666666667</v>
      </c>
      <c r="H87" s="25">
        <f>D87+E87*6+F87*6</f>
        <v>706</v>
      </c>
      <c r="I87" s="25">
        <v>531</v>
      </c>
      <c r="J87" s="25">
        <v>5.3</v>
      </c>
      <c r="K87" s="25">
        <v>0</v>
      </c>
      <c r="L87" s="25">
        <f t="shared" si="2"/>
        <v>93.8</v>
      </c>
      <c r="M87" s="25">
        <f t="shared" si="3"/>
        <v>562.79999999999995</v>
      </c>
      <c r="N87" s="25">
        <f t="shared" si="309"/>
        <v>211.46666666666667</v>
      </c>
      <c r="O87" s="25">
        <f t="shared" si="309"/>
        <v>1268.8</v>
      </c>
      <c r="P87" s="26">
        <f t="shared" si="5"/>
        <v>0.55643127364438838</v>
      </c>
      <c r="Q87" s="26">
        <f t="shared" si="306"/>
        <v>0.97025495750708213</v>
      </c>
      <c r="R87" s="26">
        <f t="shared" si="12"/>
        <v>2.9745042492917845E-2</v>
      </c>
      <c r="S87" s="26">
        <f t="shared" si="13"/>
        <v>0</v>
      </c>
      <c r="T87" s="207">
        <v>13.8</v>
      </c>
      <c r="U87" s="207">
        <v>0</v>
      </c>
      <c r="V87" s="207">
        <v>3225</v>
      </c>
      <c r="W87" s="25">
        <f t="shared" si="346"/>
        <v>3307.8</v>
      </c>
      <c r="X87" s="25">
        <f t="shared" si="347"/>
        <v>-282.39999999999964</v>
      </c>
      <c r="Y87" s="25">
        <f t="shared" si="348"/>
        <v>551.29999999999995</v>
      </c>
      <c r="Z87" s="25">
        <f t="shared" si="349"/>
        <v>-47.06666666666672</v>
      </c>
      <c r="AA87" s="204">
        <f t="shared" si="375"/>
        <v>-7.8658570553172616E-2</v>
      </c>
      <c r="AB87" s="27"/>
      <c r="AC87" s="28">
        <v>-204</v>
      </c>
      <c r="AD87" s="28">
        <v>1121</v>
      </c>
      <c r="AE87" s="28">
        <v>23</v>
      </c>
      <c r="AF87" s="28">
        <v>0</v>
      </c>
      <c r="AG87" s="29">
        <f t="shared" si="17"/>
        <v>940</v>
      </c>
      <c r="AH87" s="28">
        <v>-0.7</v>
      </c>
      <c r="AI87" s="28">
        <v>5.4</v>
      </c>
      <c r="AJ87" s="28">
        <v>0.3</v>
      </c>
      <c r="AK87" s="28">
        <v>0</v>
      </c>
      <c r="AL87" s="29">
        <f t="shared" si="307"/>
        <v>5</v>
      </c>
      <c r="AM87" s="28">
        <v>0</v>
      </c>
      <c r="AN87" s="28">
        <v>0</v>
      </c>
      <c r="AO87" s="28">
        <v>0</v>
      </c>
      <c r="AP87" s="28">
        <v>0</v>
      </c>
      <c r="AQ87" s="29">
        <f t="shared" si="350"/>
        <v>0</v>
      </c>
      <c r="AR87" s="29">
        <f>(AG87)+(AL87*6)+AQ87*6</f>
        <v>970</v>
      </c>
      <c r="AS87" s="29">
        <f t="shared" si="10"/>
        <v>161.66666666666666</v>
      </c>
      <c r="AT87" s="30">
        <v>53</v>
      </c>
      <c r="AU87" s="30">
        <v>52</v>
      </c>
      <c r="AV87" s="30">
        <v>181</v>
      </c>
      <c r="AW87" s="30">
        <v>2242</v>
      </c>
      <c r="AX87" s="31">
        <f t="shared" si="164"/>
        <v>2528</v>
      </c>
      <c r="AY87" s="25">
        <f t="shared" si="351"/>
        <v>7035</v>
      </c>
      <c r="AZ87" s="25">
        <f t="shared" si="352"/>
        <v>655.46666666666658</v>
      </c>
      <c r="BA87" s="25">
        <f t="shared" si="353"/>
        <v>3932.8</v>
      </c>
      <c r="BB87" s="31">
        <f t="shared" si="354"/>
        <v>10.732811228641173</v>
      </c>
      <c r="BC87" s="31">
        <f t="shared" si="355"/>
        <v>1.7888018714401952</v>
      </c>
      <c r="BD87" s="27" t="s">
        <v>45</v>
      </c>
      <c r="BE87" s="32">
        <f>728+444</f>
        <v>1172</v>
      </c>
      <c r="BF87" s="34">
        <v>350</v>
      </c>
      <c r="BG87" s="34">
        <v>0</v>
      </c>
      <c r="BH87" s="32">
        <f t="shared" si="376"/>
        <v>194.75094577553594</v>
      </c>
      <c r="BI87" s="34">
        <v>-88</v>
      </c>
      <c r="BJ87" s="34">
        <v>0</v>
      </c>
      <c r="BK87" s="32">
        <f t="shared" si="377"/>
        <v>-48.965952080706174</v>
      </c>
      <c r="BL87" s="34">
        <v>0</v>
      </c>
      <c r="BM87" s="34">
        <v>183</v>
      </c>
      <c r="BN87" s="32">
        <f t="shared" si="378"/>
        <v>183</v>
      </c>
      <c r="BO87" s="34">
        <v>488</v>
      </c>
      <c r="BP87" s="34">
        <v>0</v>
      </c>
      <c r="BQ87" s="32">
        <f t="shared" si="379"/>
        <v>271.53846153846155</v>
      </c>
      <c r="BR87" s="34">
        <v>6894</v>
      </c>
      <c r="BS87" s="34">
        <v>6894</v>
      </c>
      <c r="BT87" s="201">
        <f t="shared" si="356"/>
        <v>0.55643127364438838</v>
      </c>
      <c r="BU87" s="35">
        <f t="shared" si="357"/>
        <v>1772.3234552332913</v>
      </c>
      <c r="BV87" s="31">
        <f t="shared" si="358"/>
        <v>15.062238996316923</v>
      </c>
      <c r="BW87" s="31">
        <f t="shared" si="359"/>
        <v>2.5103731660528203</v>
      </c>
      <c r="BX87" s="27" t="s">
        <v>49</v>
      </c>
      <c r="BY87" s="90">
        <f t="shared" si="360"/>
        <v>4300.3234552332915</v>
      </c>
      <c r="BZ87" s="38">
        <f t="shared" si="361"/>
        <v>430.03234552332918</v>
      </c>
      <c r="CA87" s="140">
        <f t="shared" si="362"/>
        <v>0.17010773161524098</v>
      </c>
      <c r="CB87" s="38">
        <f t="shared" si="363"/>
        <v>3.6546658259773017</v>
      </c>
      <c r="CC87" s="38">
        <f t="shared" si="364"/>
        <v>0.60911097099621703</v>
      </c>
      <c r="CD87" s="38">
        <f t="shared" si="365"/>
        <v>21.48441926345609</v>
      </c>
      <c r="CE87" s="38">
        <f t="shared" si="365"/>
        <v>3.5807365439093486</v>
      </c>
      <c r="CF87" s="38">
        <f t="shared" si="366"/>
        <v>25.795050224958096</v>
      </c>
      <c r="CG87" s="38">
        <f t="shared" si="367"/>
        <v>29.449716050935397</v>
      </c>
      <c r="CH87" s="38">
        <f t="shared" si="368"/>
        <v>47.279469488414186</v>
      </c>
      <c r="CI87" s="38">
        <f t="shared" si="369"/>
        <v>4.2991750374930158</v>
      </c>
      <c r="CJ87" s="38">
        <f t="shared" si="370"/>
        <v>4.9082860084892328</v>
      </c>
      <c r="CK87" s="38">
        <f t="shared" si="371"/>
        <v>7.8799115814023644</v>
      </c>
      <c r="CL87" s="37">
        <v>4</v>
      </c>
      <c r="CM87" s="38">
        <f t="shared" si="372"/>
        <v>2.5795050224958098</v>
      </c>
      <c r="CN87" s="38">
        <f t="shared" si="373"/>
        <v>303.52175764700695</v>
      </c>
      <c r="CO87" s="145">
        <f t="shared" si="374"/>
        <v>0.12006398641099958</v>
      </c>
      <c r="CP87" s="63"/>
      <c r="CQ87" s="327">
        <v>458</v>
      </c>
      <c r="CS87" s="271"/>
      <c r="CT87" s="133"/>
      <c r="CU87" s="133"/>
      <c r="CV87" s="133"/>
      <c r="CW87" s="133"/>
      <c r="CX87" s="133"/>
      <c r="CY87" s="133"/>
      <c r="CZ87" s="133"/>
      <c r="DA87" s="133"/>
      <c r="DB87" s="133"/>
      <c r="DC87" s="133"/>
      <c r="DD87" s="133"/>
      <c r="DE87" s="273"/>
      <c r="DF87" s="273"/>
      <c r="DG87" s="273"/>
      <c r="DH87" s="132"/>
      <c r="DI87" s="132"/>
      <c r="DJ87" s="132"/>
      <c r="DK87" s="132"/>
      <c r="DL87" s="132"/>
      <c r="DM87" s="132"/>
      <c r="DN87" s="132"/>
      <c r="DO87" s="132"/>
      <c r="DP87" s="132"/>
      <c r="DQ87" s="132"/>
      <c r="DR87" s="132"/>
      <c r="DS87" s="132"/>
      <c r="DT87" s="276"/>
      <c r="DU87" s="276"/>
      <c r="DV87" s="276"/>
      <c r="DW87" s="279"/>
      <c r="DX87" s="279"/>
      <c r="DY87" s="279"/>
      <c r="DZ87" s="279"/>
      <c r="EA87" s="279"/>
      <c r="EB87" s="279"/>
      <c r="EC87" s="279"/>
      <c r="ED87" s="279"/>
      <c r="EE87" s="279"/>
      <c r="EF87" s="279"/>
      <c r="EG87" s="279"/>
      <c r="EH87" s="279"/>
      <c r="EI87" s="281"/>
      <c r="EJ87" s="281"/>
      <c r="EK87" s="295"/>
      <c r="EL87" s="343">
        <v>94.88</v>
      </c>
      <c r="EM87" s="343">
        <v>4</v>
      </c>
      <c r="EN87" s="343">
        <v>15.12</v>
      </c>
      <c r="EO87" s="116"/>
      <c r="EP87" s="116"/>
      <c r="EQ87" s="116"/>
      <c r="ER87" s="116"/>
      <c r="ES87" s="116"/>
      <c r="ET87" s="116"/>
      <c r="EU87" s="116"/>
      <c r="EV87" s="116"/>
      <c r="EW87" s="116"/>
      <c r="EX87" s="116"/>
      <c r="EY87" s="116"/>
      <c r="EZ87" s="116"/>
    </row>
    <row r="88" spans="1:156" ht="26.25" customHeight="1" x14ac:dyDescent="0.3">
      <c r="A88" s="39" t="s">
        <v>47</v>
      </c>
      <c r="B88" s="39" t="s">
        <v>48</v>
      </c>
      <c r="C88" s="22">
        <v>2012</v>
      </c>
      <c r="D88" s="25">
        <v>593</v>
      </c>
      <c r="E88" s="25">
        <v>3.8</v>
      </c>
      <c r="F88" s="25">
        <v>0.4</v>
      </c>
      <c r="G88" s="25">
        <f>D88/6+E88+F88</f>
        <v>103.03333333333333</v>
      </c>
      <c r="H88" s="25">
        <f>D88+E88*6+F88*6</f>
        <v>618.19999999999993</v>
      </c>
      <c r="I88" s="25">
        <v>497</v>
      </c>
      <c r="J88" s="25">
        <v>2.6</v>
      </c>
      <c r="K88" s="25">
        <v>4.5</v>
      </c>
      <c r="L88" s="25">
        <f t="shared" si="2"/>
        <v>89.933333333333323</v>
      </c>
      <c r="M88" s="25">
        <f t="shared" si="3"/>
        <v>539.6</v>
      </c>
      <c r="N88" s="25">
        <f t="shared" si="309"/>
        <v>192.96666666666664</v>
      </c>
      <c r="O88" s="25">
        <f t="shared" si="309"/>
        <v>1157.8</v>
      </c>
      <c r="P88" s="26">
        <f t="shared" si="5"/>
        <v>0.53394368630160649</v>
      </c>
      <c r="Q88" s="26">
        <f t="shared" si="306"/>
        <v>0.95923649304432235</v>
      </c>
      <c r="R88" s="26">
        <f t="shared" si="12"/>
        <v>3.6881268197994178E-2</v>
      </c>
      <c r="S88" s="26">
        <f t="shared" si="13"/>
        <v>3.8822387576835978E-3</v>
      </c>
      <c r="T88" s="207">
        <v>65.3</v>
      </c>
      <c r="U88" s="207">
        <v>0</v>
      </c>
      <c r="V88" s="207">
        <v>1614</v>
      </c>
      <c r="W88" s="25">
        <f t="shared" si="346"/>
        <v>2005.8</v>
      </c>
      <c r="X88" s="25">
        <f t="shared" si="347"/>
        <v>-1302.0000000000002</v>
      </c>
      <c r="Y88" s="25">
        <f t="shared" si="348"/>
        <v>334.3</v>
      </c>
      <c r="Z88" s="25">
        <f t="shared" si="349"/>
        <v>-216.99999999999994</v>
      </c>
      <c r="AA88" s="204">
        <f t="shared" si="375"/>
        <v>-0.39361509160166869</v>
      </c>
      <c r="AB88" s="27"/>
      <c r="AC88" s="28">
        <v>-1701</v>
      </c>
      <c r="AD88" s="28">
        <v>338</v>
      </c>
      <c r="AE88" s="28">
        <v>8</v>
      </c>
      <c r="AF88" s="28">
        <v>0</v>
      </c>
      <c r="AG88" s="29">
        <f t="shared" si="17"/>
        <v>-1355</v>
      </c>
      <c r="AH88" s="28">
        <v>38.9</v>
      </c>
      <c r="AI88" s="28">
        <v>39.200000000000003</v>
      </c>
      <c r="AJ88" s="28">
        <v>0.1</v>
      </c>
      <c r="AK88" s="28">
        <v>0</v>
      </c>
      <c r="AL88" s="29">
        <f t="shared" si="307"/>
        <v>78.199999999999989</v>
      </c>
      <c r="AM88" s="28">
        <v>0</v>
      </c>
      <c r="AN88" s="28">
        <v>0</v>
      </c>
      <c r="AO88" s="28">
        <v>0</v>
      </c>
      <c r="AP88" s="28">
        <v>0</v>
      </c>
      <c r="AQ88" s="29">
        <f t="shared" si="350"/>
        <v>0</v>
      </c>
      <c r="AR88" s="29">
        <f>(AG88)+(AL88*6)+AQ88*6</f>
        <v>-885.80000000000007</v>
      </c>
      <c r="AS88" s="29">
        <f t="shared" si="10"/>
        <v>-147.63333333333335</v>
      </c>
      <c r="AT88" s="30">
        <v>235</v>
      </c>
      <c r="AU88" s="30">
        <v>5</v>
      </c>
      <c r="AV88" s="30">
        <v>633</v>
      </c>
      <c r="AW88" s="30">
        <v>1094</v>
      </c>
      <c r="AX88" s="31">
        <f t="shared" si="164"/>
        <v>1967</v>
      </c>
      <c r="AY88" s="25">
        <f t="shared" si="351"/>
        <v>7135</v>
      </c>
      <c r="AZ88" s="25">
        <f t="shared" si="352"/>
        <v>420.43333333333328</v>
      </c>
      <c r="BA88" s="25">
        <f t="shared" si="353"/>
        <v>2522.6</v>
      </c>
      <c r="BB88" s="31">
        <f t="shared" si="354"/>
        <v>16.970585903432969</v>
      </c>
      <c r="BC88" s="31">
        <f t="shared" si="355"/>
        <v>2.8284309839054944</v>
      </c>
      <c r="BD88" s="27" t="s">
        <v>45</v>
      </c>
      <c r="BE88" s="40">
        <f>652+377</f>
        <v>1029</v>
      </c>
      <c r="BF88" s="34">
        <v>392</v>
      </c>
      <c r="BG88" s="34">
        <v>0</v>
      </c>
      <c r="BH88" s="32">
        <f t="shared" si="376"/>
        <v>209.30592503022973</v>
      </c>
      <c r="BI88" s="34">
        <v>-124</v>
      </c>
      <c r="BJ88" s="34">
        <v>0</v>
      </c>
      <c r="BK88" s="32">
        <f t="shared" si="377"/>
        <v>-66.209017101399212</v>
      </c>
      <c r="BL88" s="34">
        <v>0</v>
      </c>
      <c r="BM88" s="34">
        <v>96</v>
      </c>
      <c r="BN88" s="32">
        <f t="shared" si="378"/>
        <v>96</v>
      </c>
      <c r="BO88" s="34">
        <v>474</v>
      </c>
      <c r="BP88" s="34">
        <v>0</v>
      </c>
      <c r="BQ88" s="32">
        <f t="shared" si="379"/>
        <v>253.08930730696147</v>
      </c>
      <c r="BR88" s="34">
        <v>6125</v>
      </c>
      <c r="BS88" s="34">
        <v>6125</v>
      </c>
      <c r="BT88" s="201">
        <f t="shared" si="356"/>
        <v>0.53394368630160649</v>
      </c>
      <c r="BU88" s="35">
        <f t="shared" si="357"/>
        <v>1521.1862152357919</v>
      </c>
      <c r="BV88" s="31">
        <f t="shared" si="358"/>
        <v>14.764020206106036</v>
      </c>
      <c r="BW88" s="31">
        <f t="shared" si="359"/>
        <v>2.4606700343510064</v>
      </c>
      <c r="BX88" s="27" t="s">
        <v>49</v>
      </c>
      <c r="BY88" s="90">
        <f t="shared" si="360"/>
        <v>3488.1862152357917</v>
      </c>
      <c r="BZ88" s="38">
        <f t="shared" si="361"/>
        <v>348.81862152357917</v>
      </c>
      <c r="CA88" s="140">
        <f t="shared" si="362"/>
        <v>0.17733534393674588</v>
      </c>
      <c r="CB88" s="38">
        <f t="shared" si="363"/>
        <v>3.3854929297015124</v>
      </c>
      <c r="CC88" s="38">
        <f t="shared" si="364"/>
        <v>0.56424882161691881</v>
      </c>
      <c r="CD88" s="38">
        <f t="shared" si="365"/>
        <v>19.09090909090909</v>
      </c>
      <c r="CE88" s="38">
        <f t="shared" si="365"/>
        <v>3.1818181818181821</v>
      </c>
      <c r="CF88" s="38">
        <f t="shared" si="366"/>
        <v>31.734606109539005</v>
      </c>
      <c r="CG88" s="38">
        <f t="shared" si="367"/>
        <v>35.120099039240515</v>
      </c>
      <c r="CH88" s="38">
        <f t="shared" si="368"/>
        <v>50.825515200448095</v>
      </c>
      <c r="CI88" s="38">
        <f t="shared" si="369"/>
        <v>5.2891010182565008</v>
      </c>
      <c r="CJ88" s="38">
        <f t="shared" si="370"/>
        <v>5.8533498398734194</v>
      </c>
      <c r="CK88" s="38">
        <f t="shared" si="371"/>
        <v>8.4709192000746825</v>
      </c>
      <c r="CL88" s="37">
        <v>4</v>
      </c>
      <c r="CM88" s="38">
        <f t="shared" si="372"/>
        <v>3.1734606109539003</v>
      </c>
      <c r="CN88" s="38">
        <f t="shared" si="373"/>
        <v>326.97222494861688</v>
      </c>
      <c r="CO88" s="145">
        <f t="shared" si="374"/>
        <v>0.16622888914520431</v>
      </c>
      <c r="CP88" s="63"/>
      <c r="CQ88" s="327">
        <v>579</v>
      </c>
      <c r="CS88" s="270">
        <f>+CT88*CU88</f>
        <v>743.48857499999997</v>
      </c>
      <c r="CT88" s="269">
        <v>162.33374999999998</v>
      </c>
      <c r="CU88" s="133">
        <v>4.58</v>
      </c>
      <c r="CV88" s="269">
        <f>+CW88*CX88</f>
        <v>684.04193750000002</v>
      </c>
      <c r="CW88" s="269">
        <v>142.80625000000001</v>
      </c>
      <c r="CX88" s="133">
        <v>4.79</v>
      </c>
      <c r="CY88" s="269">
        <f>+CZ88*DA88</f>
        <v>719.54822500000012</v>
      </c>
      <c r="CZ88" s="269">
        <v>146.54750000000001</v>
      </c>
      <c r="DA88" s="133">
        <v>4.91</v>
      </c>
      <c r="DB88" s="269">
        <f t="shared" ref="DB88:DC92" si="380">+DE88-CS88-CV88-CY88</f>
        <v>711.18126250000012</v>
      </c>
      <c r="DC88" s="269">
        <f t="shared" si="380"/>
        <v>141.3125</v>
      </c>
      <c r="DD88" s="133">
        <f>+DB88/DC88</f>
        <v>5.0326847412649283</v>
      </c>
      <c r="DE88" s="274">
        <f>+DF88*DG88</f>
        <v>2858.26</v>
      </c>
      <c r="DF88" s="274">
        <v>593</v>
      </c>
      <c r="DG88" s="273">
        <v>4.82</v>
      </c>
      <c r="DH88" s="272">
        <f>+DI88*DJ88</f>
        <v>77.256312797619032</v>
      </c>
      <c r="DI88" s="272">
        <v>0.83385119047619027</v>
      </c>
      <c r="DJ88" s="296">
        <v>92.65</v>
      </c>
      <c r="DK88" s="272">
        <f>+DL88*DM88</f>
        <v>51.743531075581387</v>
      </c>
      <c r="DL88" s="272">
        <v>0.61148110465116268</v>
      </c>
      <c r="DM88" s="296">
        <v>84.62</v>
      </c>
      <c r="DN88" s="272">
        <f>+DO88*DP88</f>
        <v>81.279190714285733</v>
      </c>
      <c r="DO88" s="272">
        <v>1.015482142857143</v>
      </c>
      <c r="DP88" s="296">
        <v>80.040000000000006</v>
      </c>
      <c r="DQ88" s="272">
        <f t="shared" ref="DQ88:DR92" si="381">+DT88-DN88-DK88-DH88</f>
        <v>109.14896541251385</v>
      </c>
      <c r="DR88" s="272">
        <f t="shared" si="381"/>
        <v>1.3391855620155038</v>
      </c>
      <c r="DS88" s="296">
        <f>+DQ88/DR88</f>
        <v>81.503989072464492</v>
      </c>
      <c r="DT88" s="277">
        <f>+DU88*DV88</f>
        <v>319.428</v>
      </c>
      <c r="DU88" s="277">
        <v>3.8</v>
      </c>
      <c r="DV88" s="297">
        <v>84.06</v>
      </c>
      <c r="DW88" s="99">
        <f>+DX88*DY88</f>
        <v>6.3460464285714275</v>
      </c>
      <c r="DX88" s="99">
        <v>8.7773809523809518E-2</v>
      </c>
      <c r="DY88" s="298">
        <v>72.3</v>
      </c>
      <c r="DZ88" s="99">
        <f>+EA88*EB88</f>
        <v>7.1569895238095231</v>
      </c>
      <c r="EA88" s="99">
        <v>9.8202380952380944E-2</v>
      </c>
      <c r="EB88" s="298">
        <v>72.88</v>
      </c>
      <c r="EC88" s="99">
        <f>+ED88*EE88</f>
        <v>6.5568078571428581</v>
      </c>
      <c r="ED88" s="99">
        <v>0.10689285714285715</v>
      </c>
      <c r="EE88" s="298">
        <v>61.34</v>
      </c>
      <c r="EF88" s="99">
        <f t="shared" ref="EF88:EG92" si="382">+EI88-EC88-DZ88-DW88</f>
        <v>5.2881561904761911</v>
      </c>
      <c r="EG88" s="99">
        <f t="shared" si="382"/>
        <v>0.10713095238095245</v>
      </c>
      <c r="EH88" s="298">
        <f>+EF88/EG88</f>
        <v>49.361609067674159</v>
      </c>
      <c r="EI88" s="282">
        <f>+EJ88*EK88</f>
        <v>25.347999999999999</v>
      </c>
      <c r="EJ88" s="282">
        <v>0.4</v>
      </c>
      <c r="EK88" s="299">
        <v>63.37</v>
      </c>
      <c r="EL88" s="344">
        <v>94.05</v>
      </c>
      <c r="EM88" s="344">
        <v>2.75</v>
      </c>
      <c r="EN88" s="344">
        <v>10.98</v>
      </c>
      <c r="EO88" s="74">
        <v>2.41</v>
      </c>
      <c r="EP88" s="74">
        <v>2.2799999999999998</v>
      </c>
      <c r="EQ88" s="74">
        <v>2.88</v>
      </c>
      <c r="ER88" s="74">
        <v>3.4</v>
      </c>
      <c r="ES88" s="74">
        <v>13.14</v>
      </c>
      <c r="ET88" s="74">
        <v>10.75</v>
      </c>
      <c r="EU88" s="74">
        <v>9.9600000000000009</v>
      </c>
      <c r="EV88" s="74">
        <v>10.08</v>
      </c>
      <c r="EW88" s="74">
        <v>102.98</v>
      </c>
      <c r="EX88" s="74">
        <v>93.29</v>
      </c>
      <c r="EY88" s="74">
        <v>92.17</v>
      </c>
      <c r="EZ88" s="74">
        <v>88.01</v>
      </c>
    </row>
    <row r="89" spans="1:156" ht="26.25" customHeight="1" x14ac:dyDescent="0.3">
      <c r="A89" s="43" t="s">
        <v>47</v>
      </c>
      <c r="B89" s="43" t="s">
        <v>48</v>
      </c>
      <c r="C89" s="53">
        <v>2013</v>
      </c>
      <c r="D89" s="52">
        <v>491</v>
      </c>
      <c r="E89" s="52">
        <v>5.0999999999999996</v>
      </c>
      <c r="F89" s="52">
        <v>3.5</v>
      </c>
      <c r="G89" s="52">
        <f t="shared" si="0"/>
        <v>90.433333333333323</v>
      </c>
      <c r="H89" s="52">
        <f t="shared" si="1"/>
        <v>542.6</v>
      </c>
      <c r="I89" s="52">
        <v>523</v>
      </c>
      <c r="J89" s="52">
        <v>4.3</v>
      </c>
      <c r="K89" s="52">
        <v>6.8</v>
      </c>
      <c r="L89" s="52">
        <f t="shared" si="2"/>
        <v>98.266666666666666</v>
      </c>
      <c r="M89" s="52">
        <f>I89+J89*6+K89*6</f>
        <v>589.59999999999991</v>
      </c>
      <c r="N89" s="52">
        <f t="shared" si="309"/>
        <v>188.7</v>
      </c>
      <c r="O89" s="52">
        <f t="shared" si="309"/>
        <v>1132.1999999999998</v>
      </c>
      <c r="P89" s="54">
        <f t="shared" si="5"/>
        <v>0.47924394983218521</v>
      </c>
      <c r="Q89" s="54">
        <f t="shared" si="306"/>
        <v>0.90490232215259858</v>
      </c>
      <c r="R89" s="54">
        <f t="shared" si="12"/>
        <v>5.6395134537412461E-2</v>
      </c>
      <c r="S89" s="54">
        <f t="shared" si="13"/>
        <v>3.8702543309988943E-2</v>
      </c>
      <c r="T89" s="208">
        <v>23.4</v>
      </c>
      <c r="U89" s="208">
        <v>32</v>
      </c>
      <c r="V89" s="208">
        <v>1258</v>
      </c>
      <c r="W89" s="52">
        <f t="shared" si="346"/>
        <v>1590.4</v>
      </c>
      <c r="X89" s="52">
        <f t="shared" si="347"/>
        <v>-415.39999999999986</v>
      </c>
      <c r="Y89" s="52">
        <f t="shared" si="348"/>
        <v>265.06666666666666</v>
      </c>
      <c r="Z89" s="52">
        <f t="shared" si="349"/>
        <v>-69.233333333333348</v>
      </c>
      <c r="AA89" s="205">
        <f t="shared" si="375"/>
        <v>-0.20709941170605248</v>
      </c>
      <c r="AB89" s="44"/>
      <c r="AC89" s="45">
        <v>-362</v>
      </c>
      <c r="AD89" s="45">
        <v>482</v>
      </c>
      <c r="AE89" s="45">
        <v>7</v>
      </c>
      <c r="AF89" s="45">
        <v>0</v>
      </c>
      <c r="AG89" s="55">
        <f t="shared" si="17"/>
        <v>127</v>
      </c>
      <c r="AH89" s="45">
        <v>-17.3</v>
      </c>
      <c r="AI89" s="45">
        <v>27.6</v>
      </c>
      <c r="AJ89" s="45">
        <v>0.6</v>
      </c>
      <c r="AK89" s="45">
        <v>0</v>
      </c>
      <c r="AL89" s="55">
        <f t="shared" si="307"/>
        <v>10.9</v>
      </c>
      <c r="AM89" s="45">
        <v>0</v>
      </c>
      <c r="AN89" s="45">
        <v>0</v>
      </c>
      <c r="AO89" s="45">
        <v>0</v>
      </c>
      <c r="AP89" s="45">
        <v>0</v>
      </c>
      <c r="AQ89" s="55">
        <f t="shared" si="350"/>
        <v>0</v>
      </c>
      <c r="AR89" s="55">
        <f t="shared" si="9"/>
        <v>192.4</v>
      </c>
      <c r="AS89" s="55">
        <f t="shared" si="10"/>
        <v>32.06666666666667</v>
      </c>
      <c r="AT89" s="46">
        <v>111</v>
      </c>
      <c r="AU89" s="46">
        <v>45</v>
      </c>
      <c r="AV89" s="46">
        <v>412</v>
      </c>
      <c r="AW89" s="46">
        <v>871</v>
      </c>
      <c r="AX89" s="50">
        <f t="shared" si="164"/>
        <v>1439</v>
      </c>
      <c r="AY89" s="52">
        <f t="shared" si="351"/>
        <v>5934</v>
      </c>
      <c r="AZ89" s="52">
        <f t="shared" si="352"/>
        <v>46.099999999999973</v>
      </c>
      <c r="BA89" s="52">
        <f t="shared" si="353"/>
        <v>276.59999999999991</v>
      </c>
      <c r="BB89" s="50">
        <f t="shared" si="354"/>
        <v>128.72017353579184</v>
      </c>
      <c r="BC89" s="50">
        <f t="shared" si="355"/>
        <v>21.453362255965299</v>
      </c>
      <c r="BD89" s="44" t="s">
        <v>45</v>
      </c>
      <c r="BE89" s="47">
        <f>722+417</f>
        <v>1139</v>
      </c>
      <c r="BF89" s="48">
        <v>439</v>
      </c>
      <c r="BG89" s="48">
        <v>0</v>
      </c>
      <c r="BH89" s="47">
        <f t="shared" si="376"/>
        <v>210.38809397632932</v>
      </c>
      <c r="BI89" s="48">
        <v>-186</v>
      </c>
      <c r="BJ89" s="48">
        <v>0</v>
      </c>
      <c r="BK89" s="47">
        <f t="shared" si="377"/>
        <v>-89.139374668786445</v>
      </c>
      <c r="BL89" s="48">
        <v>0</v>
      </c>
      <c r="BM89" s="48">
        <v>113</v>
      </c>
      <c r="BN89" s="47">
        <f t="shared" si="378"/>
        <v>113</v>
      </c>
      <c r="BO89" s="48">
        <v>460</v>
      </c>
      <c r="BP89" s="48">
        <v>0</v>
      </c>
      <c r="BQ89" s="47">
        <f t="shared" si="379"/>
        <v>220.45221692280521</v>
      </c>
      <c r="BR89" s="48">
        <v>5726</v>
      </c>
      <c r="BS89" s="48">
        <v>5726</v>
      </c>
      <c r="BT89" s="202">
        <f t="shared" si="356"/>
        <v>0.47924394983218521</v>
      </c>
      <c r="BU89" s="49">
        <f t="shared" si="357"/>
        <v>1593.7009362303479</v>
      </c>
      <c r="BV89" s="50">
        <f t="shared" si="358"/>
        <v>17.622937002178563</v>
      </c>
      <c r="BW89" s="50">
        <f t="shared" si="359"/>
        <v>2.9371561670297601</v>
      </c>
      <c r="BX89" s="44" t="s">
        <v>49</v>
      </c>
      <c r="BY89" s="91">
        <f t="shared" si="360"/>
        <v>3032.7009362303479</v>
      </c>
      <c r="BZ89" s="56">
        <f t="shared" si="361"/>
        <v>303.27009362303482</v>
      </c>
      <c r="CA89" s="141">
        <f t="shared" si="362"/>
        <v>0.21075058625645227</v>
      </c>
      <c r="CB89" s="56">
        <f t="shared" si="363"/>
        <v>3.3535211237342595</v>
      </c>
      <c r="CC89" s="56">
        <f t="shared" si="364"/>
        <v>0.55892018728904314</v>
      </c>
      <c r="CD89" s="56">
        <f t="shared" si="365"/>
        <v>15.912274235164027</v>
      </c>
      <c r="CE89" s="56">
        <f t="shared" si="365"/>
        <v>2.6520457058606706</v>
      </c>
      <c r="CF89" s="56">
        <f t="shared" si="366"/>
        <v>146.3431105379704</v>
      </c>
      <c r="CG89" s="56">
        <f t="shared" si="367"/>
        <v>149.69663166170466</v>
      </c>
      <c r="CH89" s="56">
        <f t="shared" si="368"/>
        <v>162.25538477313444</v>
      </c>
      <c r="CI89" s="56">
        <f t="shared" si="369"/>
        <v>24.390518422995058</v>
      </c>
      <c r="CJ89" s="38">
        <f t="shared" si="370"/>
        <v>24.949438610284101</v>
      </c>
      <c r="CK89" s="56">
        <f t="shared" si="371"/>
        <v>27.04256412885573</v>
      </c>
      <c r="CL89" s="51">
        <v>4</v>
      </c>
      <c r="CM89" s="56">
        <f t="shared" si="372"/>
        <v>14.63431105379704</v>
      </c>
      <c r="CN89" s="56">
        <f t="shared" si="373"/>
        <v>1323.4295296317121</v>
      </c>
      <c r="CO89" s="145">
        <f t="shared" si="374"/>
        <v>0.91968695596366368</v>
      </c>
      <c r="CP89" s="63"/>
      <c r="CQ89" s="327">
        <v>470</v>
      </c>
      <c r="CS89" s="270">
        <f>+CT89*CU89</f>
        <v>512.48737500000004</v>
      </c>
      <c r="CT89" s="269">
        <v>132.76875000000001</v>
      </c>
      <c r="CU89" s="133">
        <v>3.86</v>
      </c>
      <c r="CV89" s="269">
        <f>+CW89*CX89</f>
        <v>533.47852499999999</v>
      </c>
      <c r="CW89" s="269">
        <v>127.93249999999999</v>
      </c>
      <c r="CX89" s="133">
        <v>4.17</v>
      </c>
      <c r="CY89" s="269">
        <f>+CZ89*DA89</f>
        <v>477.78499999999997</v>
      </c>
      <c r="CZ89" s="269">
        <v>119.44624999999999</v>
      </c>
      <c r="DA89" s="133">
        <v>4</v>
      </c>
      <c r="DB89" s="269">
        <f t="shared" si="380"/>
        <v>484.43909999999994</v>
      </c>
      <c r="DC89" s="269">
        <f t="shared" si="380"/>
        <v>110.85249999999999</v>
      </c>
      <c r="DD89" s="133">
        <f>+DB89/DC89</f>
        <v>4.3701233621253461</v>
      </c>
      <c r="DE89" s="274">
        <f>+DF89*DG89</f>
        <v>2008.1899999999998</v>
      </c>
      <c r="DF89" s="274">
        <v>491</v>
      </c>
      <c r="DG89" s="273">
        <v>4.09</v>
      </c>
      <c r="DH89" s="272">
        <f>+DI89*DJ89</f>
        <v>94.662956904069759</v>
      </c>
      <c r="DI89" s="272">
        <v>1.0552107558139534</v>
      </c>
      <c r="DJ89" s="296">
        <v>89.71</v>
      </c>
      <c r="DK89" s="272">
        <f>+DL89*DM89</f>
        <v>103.1742868604651</v>
      </c>
      <c r="DL89" s="272">
        <v>1.1688488372093022</v>
      </c>
      <c r="DM89" s="296">
        <v>88.27</v>
      </c>
      <c r="DN89" s="272">
        <f>+DO89*DP89</f>
        <v>124.28045005813952</v>
      </c>
      <c r="DO89" s="272">
        <v>1.3744796511627906</v>
      </c>
      <c r="DP89" s="296">
        <v>90.42</v>
      </c>
      <c r="DQ89" s="272">
        <f t="shared" si="381"/>
        <v>127.65130617732557</v>
      </c>
      <c r="DR89" s="272">
        <f t="shared" si="381"/>
        <v>1.5014607558139534</v>
      </c>
      <c r="DS89" s="296">
        <f>+DQ89/DR89</f>
        <v>85.018077018020236</v>
      </c>
      <c r="DT89" s="277">
        <f>+DU89*DV89</f>
        <v>449.76899999999995</v>
      </c>
      <c r="DU89" s="277">
        <v>5.0999999999999996</v>
      </c>
      <c r="DV89" s="297">
        <v>88.19</v>
      </c>
      <c r="DW89" s="99">
        <f>+DX89*DY89</f>
        <v>37.830340116279075</v>
      </c>
      <c r="DX89" s="99">
        <v>0.72416424418604652</v>
      </c>
      <c r="DY89" s="298">
        <v>52.24</v>
      </c>
      <c r="DZ89" s="99">
        <f>+EA89*EB89</f>
        <v>39.810762209302332</v>
      </c>
      <c r="EA89" s="99">
        <v>0.80215116279069776</v>
      </c>
      <c r="EB89" s="298">
        <v>49.63</v>
      </c>
      <c r="EC89" s="99">
        <f>+ED89*EE89</f>
        <v>43.720580668604647</v>
      </c>
      <c r="ED89" s="99">
        <v>0.94327034883720917</v>
      </c>
      <c r="EE89" s="298">
        <v>46.35</v>
      </c>
      <c r="EF89" s="99">
        <f t="shared" si="382"/>
        <v>49.963317005813963</v>
      </c>
      <c r="EG89" s="99">
        <f t="shared" si="382"/>
        <v>1.0304142441860469</v>
      </c>
      <c r="EH89" s="298">
        <f>+EF89/EG89</f>
        <v>48.488573685509742</v>
      </c>
      <c r="EI89" s="282">
        <f>+EJ89*EK89</f>
        <v>171.32500000000002</v>
      </c>
      <c r="EJ89" s="282">
        <v>3.5</v>
      </c>
      <c r="EK89" s="299">
        <v>48.95</v>
      </c>
      <c r="EL89" s="344">
        <v>97.98</v>
      </c>
      <c r="EM89" s="344">
        <v>3.73</v>
      </c>
      <c r="EN89" s="344">
        <v>9.94</v>
      </c>
      <c r="EO89" s="74">
        <v>3.49</v>
      </c>
      <c r="EP89" s="74">
        <v>4.01</v>
      </c>
      <c r="EQ89" s="74">
        <v>3.56</v>
      </c>
      <c r="ER89" s="74">
        <v>3.85</v>
      </c>
      <c r="ES89" s="74">
        <v>9.77</v>
      </c>
      <c r="ET89" s="74">
        <v>9.39</v>
      </c>
      <c r="EU89" s="74">
        <v>10.01</v>
      </c>
      <c r="EV89" s="74">
        <v>10.53</v>
      </c>
      <c r="EW89" s="74">
        <v>94.33</v>
      </c>
      <c r="EX89" s="74">
        <v>94.05</v>
      </c>
      <c r="EY89" s="74">
        <v>105.83</v>
      </c>
      <c r="EZ89" s="74">
        <v>97.44</v>
      </c>
    </row>
    <row r="90" spans="1:156" ht="26.25" customHeight="1" x14ac:dyDescent="0.3">
      <c r="A90" s="43" t="s">
        <v>47</v>
      </c>
      <c r="B90" s="43" t="s">
        <v>48</v>
      </c>
      <c r="C90" s="53">
        <v>2014</v>
      </c>
      <c r="D90" s="52">
        <v>355</v>
      </c>
      <c r="E90" s="52">
        <v>13.1</v>
      </c>
      <c r="F90" s="52">
        <v>5</v>
      </c>
      <c r="G90" s="52">
        <f t="shared" si="0"/>
        <v>77.266666666666666</v>
      </c>
      <c r="H90" s="52">
        <f t="shared" si="1"/>
        <v>463.6</v>
      </c>
      <c r="I90" s="52">
        <v>503</v>
      </c>
      <c r="J90" s="52">
        <v>5</v>
      </c>
      <c r="K90" s="52">
        <v>8.6</v>
      </c>
      <c r="L90" s="52">
        <f t="shared" si="2"/>
        <v>97.433333333333323</v>
      </c>
      <c r="M90" s="52">
        <f>I90+J90*6+K90*6</f>
        <v>584.6</v>
      </c>
      <c r="N90" s="52">
        <f t="shared" si="309"/>
        <v>174.7</v>
      </c>
      <c r="O90" s="52">
        <f t="shared" si="309"/>
        <v>1048.2</v>
      </c>
      <c r="P90" s="54">
        <f t="shared" si="5"/>
        <v>0.44228200725052469</v>
      </c>
      <c r="Q90" s="54">
        <f t="shared" si="306"/>
        <v>0.76574633304572903</v>
      </c>
      <c r="R90" s="54">
        <f t="shared" si="12"/>
        <v>0.16954270923209663</v>
      </c>
      <c r="S90" s="54">
        <f t="shared" si="13"/>
        <v>6.4710957722174292E-2</v>
      </c>
      <c r="T90" s="208">
        <v>81.8</v>
      </c>
      <c r="U90" s="208">
        <v>36.799999999999997</v>
      </c>
      <c r="V90" s="208">
        <v>660</v>
      </c>
      <c r="W90" s="52">
        <f t="shared" si="346"/>
        <v>1371.6</v>
      </c>
      <c r="X90" s="52">
        <f t="shared" si="347"/>
        <v>-218.80000000000018</v>
      </c>
      <c r="Y90" s="52">
        <f t="shared" si="348"/>
        <v>228.6</v>
      </c>
      <c r="Z90" s="52">
        <f t="shared" si="349"/>
        <v>-36.466666666666669</v>
      </c>
      <c r="AA90" s="205">
        <f t="shared" si="375"/>
        <v>-0.13757545271629779</v>
      </c>
      <c r="AB90" s="44"/>
      <c r="AC90" s="45">
        <v>-511</v>
      </c>
      <c r="AD90" s="45">
        <v>493</v>
      </c>
      <c r="AE90" s="45">
        <v>234</v>
      </c>
      <c r="AF90" s="45">
        <v>0</v>
      </c>
      <c r="AG90" s="55">
        <f>SUM(AC90:AF90)</f>
        <v>216</v>
      </c>
      <c r="AH90" s="45">
        <v>-2.7</v>
      </c>
      <c r="AI90" s="45">
        <v>21.4</v>
      </c>
      <c r="AJ90" s="45">
        <v>148.19999999999999</v>
      </c>
      <c r="AK90" s="45">
        <v>0</v>
      </c>
      <c r="AL90" s="55">
        <f t="shared" si="307"/>
        <v>166.89999999999998</v>
      </c>
      <c r="AM90" s="45">
        <v>-2.6</v>
      </c>
      <c r="AN90" s="45">
        <v>8.8000000000000007</v>
      </c>
      <c r="AO90" s="45">
        <v>52.9</v>
      </c>
      <c r="AP90" s="45">
        <v>0</v>
      </c>
      <c r="AQ90" s="55">
        <f>SUM(AM90:AP90)</f>
        <v>59.1</v>
      </c>
      <c r="AR90" s="55">
        <f t="shared" si="9"/>
        <v>1572</v>
      </c>
      <c r="AS90" s="55">
        <f t="shared" si="10"/>
        <v>262</v>
      </c>
      <c r="AT90" s="46">
        <v>5452</v>
      </c>
      <c r="AU90" s="46">
        <v>5008</v>
      </c>
      <c r="AV90" s="46">
        <v>38</v>
      </c>
      <c r="AW90" s="46">
        <v>1247</v>
      </c>
      <c r="AX90" s="50">
        <f t="shared" si="164"/>
        <v>11745</v>
      </c>
      <c r="AY90" s="52">
        <f t="shared" si="351"/>
        <v>15151</v>
      </c>
      <c r="AZ90" s="52">
        <f t="shared" si="352"/>
        <v>146.43333333333331</v>
      </c>
      <c r="BA90" s="52">
        <f t="shared" si="353"/>
        <v>878.59999999999991</v>
      </c>
      <c r="BB90" s="50">
        <f t="shared" si="354"/>
        <v>103.4668791258821</v>
      </c>
      <c r="BC90" s="50">
        <f t="shared" si="355"/>
        <v>17.244479854313681</v>
      </c>
      <c r="BD90" s="44" t="s">
        <v>91</v>
      </c>
      <c r="BE90" s="47">
        <f>326+658</f>
        <v>984</v>
      </c>
      <c r="BF90" s="48">
        <v>327</v>
      </c>
      <c r="BG90" s="48">
        <v>0</v>
      </c>
      <c r="BH90" s="47">
        <f t="shared" si="376"/>
        <v>144.62621637092158</v>
      </c>
      <c r="BI90" s="48">
        <v>43</v>
      </c>
      <c r="BJ90" s="48">
        <v>0</v>
      </c>
      <c r="BK90" s="47">
        <f t="shared" si="377"/>
        <v>19.018126311772562</v>
      </c>
      <c r="BL90" s="48">
        <v>0</v>
      </c>
      <c r="BM90" s="48">
        <v>146</v>
      </c>
      <c r="BN90" s="47">
        <f t="shared" si="378"/>
        <v>146</v>
      </c>
      <c r="BO90" s="48">
        <v>509</v>
      </c>
      <c r="BP90" s="48">
        <v>0</v>
      </c>
      <c r="BQ90" s="47">
        <f t="shared" si="379"/>
        <v>225.12154169051706</v>
      </c>
      <c r="BR90" s="48">
        <v>6212</v>
      </c>
      <c r="BS90" s="48">
        <v>6212</v>
      </c>
      <c r="BT90" s="202">
        <f t="shared" si="356"/>
        <v>0.44228200725052469</v>
      </c>
      <c r="BU90" s="49">
        <f t="shared" si="357"/>
        <v>1518.7658843732111</v>
      </c>
      <c r="BV90" s="50">
        <f t="shared" si="358"/>
        <v>19.656158986711102</v>
      </c>
      <c r="BW90" s="50">
        <f t="shared" si="359"/>
        <v>3.2760264977851832</v>
      </c>
      <c r="BX90" s="44"/>
      <c r="BY90" s="91">
        <f t="shared" si="360"/>
        <v>13263.765884373212</v>
      </c>
      <c r="BZ90" s="56">
        <f t="shared" si="361"/>
        <v>1326.3765884373213</v>
      </c>
      <c r="CA90" s="141">
        <f t="shared" si="362"/>
        <v>0.11293116972646414</v>
      </c>
      <c r="CB90" s="56">
        <f t="shared" si="363"/>
        <v>17.166219867609854</v>
      </c>
      <c r="CC90" s="56">
        <f t="shared" si="364"/>
        <v>2.8610366446016422</v>
      </c>
      <c r="CD90" s="56">
        <f t="shared" si="365"/>
        <v>152.00603968938739</v>
      </c>
      <c r="CE90" s="56">
        <f t="shared" si="365"/>
        <v>25.334339948231232</v>
      </c>
      <c r="CF90" s="56">
        <f t="shared" si="366"/>
        <v>123.12303811259321</v>
      </c>
      <c r="CG90" s="56">
        <f t="shared" si="367"/>
        <v>140.28925798020305</v>
      </c>
      <c r="CH90" s="56">
        <f t="shared" si="368"/>
        <v>275.1290778019806</v>
      </c>
      <c r="CI90" s="56">
        <f t="shared" si="369"/>
        <v>20.520506352098863</v>
      </c>
      <c r="CJ90" s="56">
        <f t="shared" si="370"/>
        <v>23.381542996700507</v>
      </c>
      <c r="CK90" s="56">
        <f t="shared" si="371"/>
        <v>45.854846300330095</v>
      </c>
      <c r="CL90" s="51">
        <v>4</v>
      </c>
      <c r="CM90" s="56">
        <f t="shared" si="372"/>
        <v>12.312303811259321</v>
      </c>
      <c r="CN90" s="56">
        <f t="shared" si="373"/>
        <v>951.33067448330348</v>
      </c>
      <c r="CO90" s="173">
        <f t="shared" si="374"/>
        <v>8.0998780288063302E-2</v>
      </c>
      <c r="CP90" s="174"/>
      <c r="CQ90" s="328">
        <v>5655</v>
      </c>
      <c r="CR90" s="82"/>
      <c r="CS90" s="270">
        <f>+CT90*CU90</f>
        <v>659.06407500000012</v>
      </c>
      <c r="CT90" s="269">
        <v>113.24125000000001</v>
      </c>
      <c r="CU90" s="133">
        <v>5.82</v>
      </c>
      <c r="CV90" s="269">
        <f>+CW90*CX90</f>
        <v>401.33940000000001</v>
      </c>
      <c r="CW90" s="269">
        <v>98.367500000000007</v>
      </c>
      <c r="CX90" s="133">
        <v>4.08</v>
      </c>
      <c r="CY90" s="269">
        <f>+CZ90*DA90</f>
        <v>303.38343750000001</v>
      </c>
      <c r="CZ90" s="269">
        <v>75.28125</v>
      </c>
      <c r="DA90" s="133">
        <v>4.03</v>
      </c>
      <c r="DB90" s="269">
        <f t="shared" si="380"/>
        <v>265.66308749999996</v>
      </c>
      <c r="DC90" s="269">
        <f t="shared" si="380"/>
        <v>68.109999999999985</v>
      </c>
      <c r="DD90" s="133">
        <f>+DB90/DC90</f>
        <v>3.9005004771692851</v>
      </c>
      <c r="DE90" s="274">
        <f>+DF90*DG90</f>
        <v>1629.45</v>
      </c>
      <c r="DF90" s="274">
        <v>355</v>
      </c>
      <c r="DG90" s="273">
        <v>4.59</v>
      </c>
      <c r="DH90" s="272">
        <f>+DI90*DJ90</f>
        <v>123.69284249999998</v>
      </c>
      <c r="DI90" s="272">
        <v>1.4326249999999998</v>
      </c>
      <c r="DJ90" s="296">
        <v>86.34</v>
      </c>
      <c r="DK90" s="272">
        <f>+DL90*DM90</f>
        <v>165.88018124999999</v>
      </c>
      <c r="DL90" s="272">
        <v>1.8523749999999999</v>
      </c>
      <c r="DM90" s="296">
        <v>89.55</v>
      </c>
      <c r="DN90" s="272">
        <f>+DO90*DP90</f>
        <v>390.22405499999996</v>
      </c>
      <c r="DO90" s="272">
        <v>4.3252499999999996</v>
      </c>
      <c r="DP90" s="296">
        <v>90.22</v>
      </c>
      <c r="DQ90" s="272">
        <f t="shared" si="381"/>
        <v>447.19592125000008</v>
      </c>
      <c r="DR90" s="272">
        <f t="shared" si="381"/>
        <v>5.4897500000000008</v>
      </c>
      <c r="DS90" s="296">
        <f>+DQ90/DR90</f>
        <v>81.460161437223917</v>
      </c>
      <c r="DT90" s="277">
        <f>+DU90*DV90</f>
        <v>1126.9929999999999</v>
      </c>
      <c r="DU90" s="277">
        <v>13.1</v>
      </c>
      <c r="DV90" s="297">
        <v>86.03</v>
      </c>
      <c r="DW90" s="99">
        <f>+DX90*DY90</f>
        <v>54.973379999999999</v>
      </c>
      <c r="DX90" s="99">
        <v>1.022</v>
      </c>
      <c r="DY90" s="298">
        <v>53.79</v>
      </c>
      <c r="DZ90" s="99">
        <f>+EA90*EB90</f>
        <v>47.321793749999998</v>
      </c>
      <c r="EA90" s="99">
        <v>0.958125</v>
      </c>
      <c r="EB90" s="298">
        <v>49.39</v>
      </c>
      <c r="EC90" s="99">
        <f>+ED90*EE90</f>
        <v>63.625704999999996</v>
      </c>
      <c r="ED90" s="99">
        <v>1.304875</v>
      </c>
      <c r="EE90" s="298">
        <v>48.76</v>
      </c>
      <c r="EF90" s="99">
        <f t="shared" si="382"/>
        <v>74.529121250000031</v>
      </c>
      <c r="EG90" s="99">
        <f t="shared" si="382"/>
        <v>1.7150000000000001</v>
      </c>
      <c r="EH90" s="298">
        <f>+EF90/EG90</f>
        <v>43.457213556851329</v>
      </c>
      <c r="EI90" s="282">
        <f>+EJ90*EK90</f>
        <v>240.45000000000002</v>
      </c>
      <c r="EJ90" s="282">
        <v>5</v>
      </c>
      <c r="EK90" s="299">
        <v>48.09</v>
      </c>
      <c r="EL90" s="344">
        <v>93.17</v>
      </c>
      <c r="EM90" s="344">
        <v>4.37</v>
      </c>
      <c r="EN90" s="344">
        <v>9.56</v>
      </c>
      <c r="EO90" s="74">
        <v>5.21</v>
      </c>
      <c r="EP90" s="74">
        <v>4.6100000000000003</v>
      </c>
      <c r="EQ90" s="74">
        <v>3.96</v>
      </c>
      <c r="ER90" s="74">
        <v>3.8</v>
      </c>
      <c r="ES90" s="74">
        <v>11.19</v>
      </c>
      <c r="ET90" s="74">
        <v>10.15</v>
      </c>
      <c r="EU90" s="74">
        <v>9.83</v>
      </c>
      <c r="EV90" s="74">
        <v>7.41</v>
      </c>
      <c r="EW90" s="74">
        <v>98.68</v>
      </c>
      <c r="EX90" s="74">
        <v>103.35</v>
      </c>
      <c r="EY90" s="74">
        <v>97.87</v>
      </c>
      <c r="EZ90" s="74">
        <v>73.209999999999994</v>
      </c>
    </row>
    <row r="91" spans="1:156" ht="26.25" customHeight="1" x14ac:dyDescent="0.3">
      <c r="A91" s="43" t="s">
        <v>47</v>
      </c>
      <c r="B91" s="43" t="s">
        <v>48</v>
      </c>
      <c r="C91" s="53">
        <v>2015</v>
      </c>
      <c r="D91" s="52">
        <v>241</v>
      </c>
      <c r="E91" s="52">
        <v>29.7</v>
      </c>
      <c r="F91" s="52">
        <v>8.6</v>
      </c>
      <c r="G91" s="52">
        <f t="shared" si="0"/>
        <v>78.466666666666654</v>
      </c>
      <c r="H91" s="52">
        <f t="shared" si="1"/>
        <v>470.79999999999995</v>
      </c>
      <c r="I91" s="52">
        <v>354</v>
      </c>
      <c r="J91" s="52">
        <v>2</v>
      </c>
      <c r="K91" s="52">
        <v>8.3000000000000007</v>
      </c>
      <c r="L91" s="52">
        <f t="shared" si="2"/>
        <v>69.3</v>
      </c>
      <c r="M91" s="52">
        <f>I91+J91*6+K91*6</f>
        <v>415.8</v>
      </c>
      <c r="N91" s="52">
        <f t="shared" si="309"/>
        <v>147.76666666666665</v>
      </c>
      <c r="O91" s="52">
        <f t="shared" si="309"/>
        <v>886.59999999999991</v>
      </c>
      <c r="P91" s="54">
        <f t="shared" si="5"/>
        <v>0.53101736972704716</v>
      </c>
      <c r="Q91" s="54">
        <f t="shared" si="306"/>
        <v>0.51189464740866619</v>
      </c>
      <c r="R91" s="54">
        <f t="shared" si="12"/>
        <v>0.3785046728971963</v>
      </c>
      <c r="S91" s="54">
        <f t="shared" si="13"/>
        <v>0.10960067969413766</v>
      </c>
      <c r="T91" s="208">
        <v>66.3</v>
      </c>
      <c r="U91" s="208">
        <v>24</v>
      </c>
      <c r="V91" s="208">
        <v>184</v>
      </c>
      <c r="W91" s="52">
        <f>+T91*6+U91*6+V91</f>
        <v>725.8</v>
      </c>
      <c r="X91" s="52">
        <f t="shared" si="347"/>
        <v>-645.79999999999995</v>
      </c>
      <c r="Y91" s="52">
        <f t="shared" si="348"/>
        <v>120.96666666666667</v>
      </c>
      <c r="Z91" s="52">
        <f t="shared" si="349"/>
        <v>-107.63333333333333</v>
      </c>
      <c r="AA91" s="205">
        <f t="shared" si="375"/>
        <v>-0.47083697871099445</v>
      </c>
      <c r="AB91" s="44"/>
      <c r="AC91" s="45">
        <v>-342</v>
      </c>
      <c r="AD91" s="45">
        <v>159</v>
      </c>
      <c r="AE91" s="45">
        <v>0</v>
      </c>
      <c r="AF91" s="45">
        <v>0</v>
      </c>
      <c r="AG91" s="55">
        <f>SUM(AC91:AF91)</f>
        <v>-183</v>
      </c>
      <c r="AH91" s="45">
        <v>-73.599999999999994</v>
      </c>
      <c r="AI91" s="45">
        <v>68.400000000000006</v>
      </c>
      <c r="AJ91" s="45">
        <v>0</v>
      </c>
      <c r="AK91" s="45">
        <v>0</v>
      </c>
      <c r="AL91" s="55">
        <f t="shared" si="307"/>
        <v>-5.1999999999999886</v>
      </c>
      <c r="AM91" s="45">
        <v>-41.1</v>
      </c>
      <c r="AN91" s="45">
        <v>24.9</v>
      </c>
      <c r="AO91" s="45">
        <v>0</v>
      </c>
      <c r="AP91" s="45">
        <v>0</v>
      </c>
      <c r="AQ91" s="55">
        <f>SUM(AM91:AP91)</f>
        <v>-16.200000000000003</v>
      </c>
      <c r="AR91" s="55">
        <f t="shared" si="9"/>
        <v>-311.39999999999998</v>
      </c>
      <c r="AS91" s="55">
        <f t="shared" si="10"/>
        <v>-51.899999999999991</v>
      </c>
      <c r="AT91" s="46">
        <v>15</v>
      </c>
      <c r="AU91" s="46">
        <v>12</v>
      </c>
      <c r="AV91" s="46">
        <v>3</v>
      </c>
      <c r="AW91" s="46">
        <v>1844</v>
      </c>
      <c r="AX91" s="50">
        <f t="shared" si="164"/>
        <v>1874</v>
      </c>
      <c r="AY91" s="52">
        <f>SUM(AX89:AX91)</f>
        <v>15058</v>
      </c>
      <c r="AZ91" s="52">
        <f t="shared" si="352"/>
        <v>242.16666666666669</v>
      </c>
      <c r="BA91" s="52">
        <f t="shared" si="353"/>
        <v>1453</v>
      </c>
      <c r="BB91" s="50">
        <f>AY91/AZ91</f>
        <v>62.180316586373017</v>
      </c>
      <c r="BC91" s="50">
        <f>AY91/BA91</f>
        <v>10.363386097728837</v>
      </c>
      <c r="BD91" s="44"/>
      <c r="BE91" s="47">
        <f>580+519</f>
        <v>1099</v>
      </c>
      <c r="BF91" s="48">
        <v>275</v>
      </c>
      <c r="BG91" s="48">
        <v>0</v>
      </c>
      <c r="BH91" s="47">
        <f t="shared" si="376"/>
        <v>146.02977667493798</v>
      </c>
      <c r="BI91" s="48">
        <v>-105</v>
      </c>
      <c r="BJ91" s="48">
        <v>0</v>
      </c>
      <c r="BK91" s="47">
        <f t="shared" si="377"/>
        <v>-55.75682382133995</v>
      </c>
      <c r="BL91" s="48">
        <v>0</v>
      </c>
      <c r="BM91" s="48">
        <v>116</v>
      </c>
      <c r="BN91" s="47">
        <f t="shared" si="378"/>
        <v>116</v>
      </c>
      <c r="BO91" s="48">
        <v>497</v>
      </c>
      <c r="BP91" s="48">
        <v>0</v>
      </c>
      <c r="BQ91" s="47">
        <f t="shared" si="379"/>
        <v>263.91563275434243</v>
      </c>
      <c r="BR91" s="48">
        <v>4313</v>
      </c>
      <c r="BS91" s="48">
        <v>4313</v>
      </c>
      <c r="BT91" s="202">
        <f t="shared" si="356"/>
        <v>0.53101736972704716</v>
      </c>
      <c r="BU91" s="49">
        <f t="shared" si="357"/>
        <v>1569.1885856079405</v>
      </c>
      <c r="BV91" s="50">
        <f t="shared" si="358"/>
        <v>19.998155296617767</v>
      </c>
      <c r="BW91" s="50">
        <f t="shared" si="359"/>
        <v>3.3330258827696273</v>
      </c>
      <c r="BX91" s="44"/>
      <c r="BY91" s="91">
        <f t="shared" si="360"/>
        <v>3443.1885856079407</v>
      </c>
      <c r="BZ91" s="56">
        <f>(BY91*0.1)</f>
        <v>344.31885856079407</v>
      </c>
      <c r="CA91" s="141">
        <f t="shared" si="362"/>
        <v>0.18373471641451125</v>
      </c>
      <c r="CB91" s="56">
        <f t="shared" si="363"/>
        <v>4.3880908057875203</v>
      </c>
      <c r="CC91" s="56">
        <f t="shared" si="364"/>
        <v>0.73134846763125338</v>
      </c>
      <c r="CD91" s="56">
        <f t="shared" si="365"/>
        <v>23.882752761257439</v>
      </c>
      <c r="CE91" s="56">
        <f t="shared" si="365"/>
        <v>3.9804587935429061</v>
      </c>
      <c r="CF91" s="56">
        <f t="shared" si="366"/>
        <v>82.178471882990777</v>
      </c>
      <c r="CG91" s="56">
        <f>CB91+CF91</f>
        <v>86.566562688778305</v>
      </c>
      <c r="CH91" s="56">
        <f>CF91+CD91</f>
        <v>106.06122464424821</v>
      </c>
      <c r="CI91" s="56">
        <f t="shared" si="369"/>
        <v>13.696411980498464</v>
      </c>
      <c r="CJ91" s="56">
        <f>+CI91+CC91</f>
        <v>14.427760448129717</v>
      </c>
      <c r="CK91" s="56">
        <f>+CI91+CE91</f>
        <v>17.676870774041369</v>
      </c>
      <c r="CL91" s="51">
        <v>4</v>
      </c>
      <c r="CM91" s="56">
        <f t="shared" si="372"/>
        <v>8.2178471882990785</v>
      </c>
      <c r="CN91" s="56">
        <f t="shared" si="373"/>
        <v>644.8270760418676</v>
      </c>
      <c r="CO91" s="173">
        <f t="shared" si="374"/>
        <v>0.3440912892432591</v>
      </c>
      <c r="CP91" s="174"/>
      <c r="CQ91" s="328">
        <v>5282</v>
      </c>
      <c r="CR91" s="169"/>
      <c r="CS91" s="270">
        <f>+CT91*CU91</f>
        <v>317.97157499999997</v>
      </c>
      <c r="CT91" s="269">
        <f>0.729*91.25</f>
        <v>66.521249999999995</v>
      </c>
      <c r="CU91" s="133">
        <v>4.78</v>
      </c>
      <c r="CV91" s="269">
        <f>+CW91*CX91</f>
        <v>220.66440000000003</v>
      </c>
      <c r="CW91" s="269">
        <f>0.687*91.25</f>
        <v>62.688750000000006</v>
      </c>
      <c r="CX91" s="133">
        <v>3.52</v>
      </c>
      <c r="CY91" s="269">
        <f>+CZ91*DA91</f>
        <v>227.15866250000002</v>
      </c>
      <c r="CZ91" s="269">
        <f>0.671*91.25</f>
        <v>61.228750000000005</v>
      </c>
      <c r="DA91" s="133">
        <v>3.71</v>
      </c>
      <c r="DB91" s="269">
        <f t="shared" si="380"/>
        <v>171.69536249999996</v>
      </c>
      <c r="DC91" s="269">
        <f t="shared" si="380"/>
        <v>50.561249999999987</v>
      </c>
      <c r="DD91" s="133">
        <f>+DB91/DC91</f>
        <v>3.3957895127197211</v>
      </c>
      <c r="DE91" s="274">
        <f>+DF91*DG91</f>
        <v>937.49</v>
      </c>
      <c r="DF91" s="274">
        <v>241</v>
      </c>
      <c r="DG91" s="273">
        <v>3.89</v>
      </c>
      <c r="DH91" s="272">
        <f>+DI91*DJ91</f>
        <v>305.86470750000001</v>
      </c>
      <c r="DI91" s="272">
        <f>0.0726*91.25</f>
        <v>6.6247499999999997</v>
      </c>
      <c r="DJ91" s="296">
        <v>46.17</v>
      </c>
      <c r="DK91" s="272">
        <f>+DL91*DM91</f>
        <v>386.03093499999994</v>
      </c>
      <c r="DL91" s="272">
        <f>0.0797*91.25</f>
        <v>7.2726249999999997</v>
      </c>
      <c r="DM91" s="296">
        <v>53.08</v>
      </c>
      <c r="DN91" s="272">
        <f>+DO91*DP91</f>
        <v>390.21310499999998</v>
      </c>
      <c r="DO91" s="272">
        <f>0.0866*91.25</f>
        <v>7.9022499999999996</v>
      </c>
      <c r="DP91" s="296">
        <v>49.38</v>
      </c>
      <c r="DQ91" s="272">
        <f t="shared" si="381"/>
        <v>393.38725249999982</v>
      </c>
      <c r="DR91" s="272">
        <f t="shared" si="381"/>
        <v>7.9003750000000013</v>
      </c>
      <c r="DS91" s="296">
        <f>+DQ91/DR91</f>
        <v>49.793491131750045</v>
      </c>
      <c r="DT91" s="277">
        <f>+DU91*DV91</f>
        <v>1475.4959999999999</v>
      </c>
      <c r="DU91" s="277">
        <v>29.7</v>
      </c>
      <c r="DV91" s="297">
        <v>49.68</v>
      </c>
      <c r="DW91" s="99">
        <f>+DX91*DY91</f>
        <v>40.604060000000004</v>
      </c>
      <c r="DX91" s="99">
        <f>0.0203*91.25</f>
        <v>1.8523749999999999</v>
      </c>
      <c r="DY91" s="298">
        <v>21.92</v>
      </c>
      <c r="DZ91" s="99">
        <f>+EA91*EB91</f>
        <v>47.191215</v>
      </c>
      <c r="EA91" s="99">
        <f>0.0213*91.25</f>
        <v>1.9436249999999999</v>
      </c>
      <c r="EB91" s="298">
        <v>24.28</v>
      </c>
      <c r="EC91" s="99">
        <f>+ED91*EE91</f>
        <v>47.501282500000002</v>
      </c>
      <c r="ED91" s="99">
        <f>0.0266*91.25</f>
        <v>2.4272499999999999</v>
      </c>
      <c r="EE91" s="298">
        <v>19.57</v>
      </c>
      <c r="EF91" s="99">
        <f t="shared" si="382"/>
        <v>50.979442499999976</v>
      </c>
      <c r="EG91" s="99">
        <f t="shared" si="382"/>
        <v>2.3767499999999999</v>
      </c>
      <c r="EH91" s="298">
        <f>+EF91/EG91</f>
        <v>21.449223729883233</v>
      </c>
      <c r="EI91" s="282">
        <f>+EJ91*EK91</f>
        <v>186.27599999999998</v>
      </c>
      <c r="EJ91" s="282">
        <v>8.6</v>
      </c>
      <c r="EK91" s="299">
        <v>21.66</v>
      </c>
      <c r="EL91" s="344">
        <v>48.66</v>
      </c>
      <c r="EM91" s="344">
        <v>2.62</v>
      </c>
      <c r="EN91" s="344">
        <v>4.97</v>
      </c>
      <c r="EO91" s="331">
        <v>2.9</v>
      </c>
      <c r="EP91" s="331">
        <v>2.75</v>
      </c>
      <c r="EQ91" s="331">
        <v>2.76</v>
      </c>
      <c r="ER91" s="331">
        <v>2.12</v>
      </c>
      <c r="ES91" s="331">
        <v>5.43</v>
      </c>
      <c r="ET91" s="331">
        <v>5.2</v>
      </c>
      <c r="EU91" s="331">
        <v>4.68</v>
      </c>
      <c r="EV91" s="331">
        <v>4.5999999999999996</v>
      </c>
      <c r="EW91" s="331">
        <v>48.49</v>
      </c>
      <c r="EX91" s="331">
        <v>57.85</v>
      </c>
      <c r="EY91" s="331">
        <v>46.64</v>
      </c>
      <c r="EZ91" s="331">
        <v>41.94</v>
      </c>
    </row>
    <row r="92" spans="1:156" ht="26.25" customHeight="1" x14ac:dyDescent="0.3">
      <c r="A92" s="228" t="s">
        <v>47</v>
      </c>
      <c r="B92" s="228" t="s">
        <v>48</v>
      </c>
      <c r="C92" s="229">
        <v>2016</v>
      </c>
      <c r="D92" s="216">
        <v>153</v>
      </c>
      <c r="E92" s="216">
        <v>26.2</v>
      </c>
      <c r="F92" s="216">
        <v>8.5</v>
      </c>
      <c r="G92" s="216">
        <f t="shared" si="0"/>
        <v>60.2</v>
      </c>
      <c r="H92" s="216">
        <f t="shared" si="1"/>
        <v>361.2</v>
      </c>
      <c r="I92" s="216">
        <v>354</v>
      </c>
      <c r="J92" s="216">
        <v>0.7</v>
      </c>
      <c r="K92" s="216">
        <v>9.1999999999999993</v>
      </c>
      <c r="L92" s="216">
        <f t="shared" si="2"/>
        <v>68.900000000000006</v>
      </c>
      <c r="M92" s="216">
        <f>I92+J92*6+K92*6</f>
        <v>413.4</v>
      </c>
      <c r="N92" s="216">
        <f t="shared" si="309"/>
        <v>129.10000000000002</v>
      </c>
      <c r="O92" s="216">
        <f t="shared" si="309"/>
        <v>774.59999999999991</v>
      </c>
      <c r="P92" s="302">
        <f t="shared" si="5"/>
        <v>0.46630518977536795</v>
      </c>
      <c r="Q92" s="302">
        <f t="shared" si="306"/>
        <v>0.42358803986710963</v>
      </c>
      <c r="R92" s="302">
        <f t="shared" si="12"/>
        <v>0.43521594684385378</v>
      </c>
      <c r="S92" s="302">
        <f t="shared" si="13"/>
        <v>0.14119601328903653</v>
      </c>
      <c r="T92" s="209">
        <v>73.099999999999994</v>
      </c>
      <c r="U92" s="209">
        <v>68.400000000000006</v>
      </c>
      <c r="V92" s="209">
        <v>142</v>
      </c>
      <c r="W92" s="216">
        <f>+T92*6+U92*6+V92</f>
        <v>991</v>
      </c>
      <c r="X92" s="216">
        <f>W92-W91</f>
        <v>265.20000000000005</v>
      </c>
      <c r="Y92" s="216">
        <f>+T92+U92+V92/6</f>
        <v>165.16666666666666</v>
      </c>
      <c r="Z92" s="216">
        <f>Y92-Y91</f>
        <v>44.199999999999989</v>
      </c>
      <c r="AA92" s="206">
        <f>+Z92/Y91</f>
        <v>0.36538991457701836</v>
      </c>
      <c r="AB92" s="230"/>
      <c r="AC92" s="231">
        <v>177</v>
      </c>
      <c r="AD92" s="231">
        <v>91</v>
      </c>
      <c r="AE92" s="231">
        <v>16</v>
      </c>
      <c r="AF92" s="231">
        <v>0</v>
      </c>
      <c r="AG92" s="303">
        <f>SUM(AC92:AF92)</f>
        <v>284</v>
      </c>
      <c r="AH92" s="231">
        <v>-15.6</v>
      </c>
      <c r="AI92" s="231">
        <v>52.2</v>
      </c>
      <c r="AJ92" s="231">
        <v>9.6</v>
      </c>
      <c r="AK92" s="231">
        <v>0</v>
      </c>
      <c r="AL92" s="303">
        <f t="shared" si="307"/>
        <v>46.2</v>
      </c>
      <c r="AM92" s="231">
        <v>-1.6</v>
      </c>
      <c r="AN92" s="231">
        <v>17.7</v>
      </c>
      <c r="AO92" s="231">
        <v>2.6</v>
      </c>
      <c r="AP92" s="231">
        <v>0</v>
      </c>
      <c r="AQ92" s="303">
        <f>SUM(AM92:AP92)</f>
        <v>18.7</v>
      </c>
      <c r="AR92" s="303">
        <f t="shared" si="9"/>
        <v>673.40000000000009</v>
      </c>
      <c r="AS92" s="303">
        <f t="shared" si="10"/>
        <v>112.23333333333333</v>
      </c>
      <c r="AT92" s="232">
        <v>4</v>
      </c>
      <c r="AU92" s="232">
        <v>205</v>
      </c>
      <c r="AV92" s="232">
        <v>13</v>
      </c>
      <c r="AW92" s="232">
        <v>860</v>
      </c>
      <c r="AX92" s="215">
        <f t="shared" si="164"/>
        <v>1082</v>
      </c>
      <c r="AY92" s="216">
        <f>SUM(AX90:AX92)</f>
        <v>14701</v>
      </c>
      <c r="AZ92" s="216">
        <f>SUM(AS90:AS92)</f>
        <v>322.33333333333337</v>
      </c>
      <c r="BA92" s="216">
        <f>SUM(AR90:AR92)</f>
        <v>1934</v>
      </c>
      <c r="BB92" s="215">
        <f>AY92/AZ92</f>
        <v>45.608066184074453</v>
      </c>
      <c r="BC92" s="215">
        <f>AY92/BA92</f>
        <v>7.6013443640124096</v>
      </c>
      <c r="BD92" s="230"/>
      <c r="BE92" s="212">
        <f>394+260</f>
        <v>654</v>
      </c>
      <c r="BF92" s="200">
        <v>309</v>
      </c>
      <c r="BG92" s="200">
        <v>0</v>
      </c>
      <c r="BH92" s="212">
        <f>IF(BG92=0,BF92*$BT92,BG92)</f>
        <v>144.08830364058869</v>
      </c>
      <c r="BI92" s="200">
        <v>-19</v>
      </c>
      <c r="BJ92" s="200">
        <v>0</v>
      </c>
      <c r="BK92" s="212">
        <f>IF(BJ92=0,BI92*$BT92,BJ92)</f>
        <v>-8.8597986057319904</v>
      </c>
      <c r="BL92" s="200">
        <v>0</v>
      </c>
      <c r="BM92" s="200">
        <v>76</v>
      </c>
      <c r="BN92" s="212">
        <f>IF(BM92=0,BL92*$BT92,BM92)</f>
        <v>76</v>
      </c>
      <c r="BO92" s="200">
        <v>296</v>
      </c>
      <c r="BP92" s="200">
        <v>0</v>
      </c>
      <c r="BQ92" s="212">
        <f>IF(BP92=0,BO92*$BT92,BP92)</f>
        <v>138.02633617350892</v>
      </c>
      <c r="BR92" s="333">
        <f>1067+1770</f>
        <v>2837</v>
      </c>
      <c r="BS92" s="333">
        <f>1067+1770</f>
        <v>2837</v>
      </c>
      <c r="BT92" s="203">
        <f>+P92*BR92/BS92</f>
        <v>0.46630518977536795</v>
      </c>
      <c r="BU92" s="220">
        <f>BQ92+BN92+BK92+BH92+BE92</f>
        <v>1003.2548412083656</v>
      </c>
      <c r="BV92" s="215">
        <f>BU92/G92</f>
        <v>16.665362810770194</v>
      </c>
      <c r="BW92" s="215">
        <f>BU92/H92</f>
        <v>2.777560468461699</v>
      </c>
      <c r="BX92" s="230"/>
      <c r="BY92" s="304">
        <f>BU92+AX92</f>
        <v>2085.2548412083656</v>
      </c>
      <c r="BZ92" s="305">
        <f>(BY92*0.1)</f>
        <v>208.52548412083658</v>
      </c>
      <c r="CA92" s="306">
        <f>+BZ92/AX92</f>
        <v>0.19272225889171588</v>
      </c>
      <c r="CB92" s="305">
        <f>BZ92/G92</f>
        <v>3.4638784737680495</v>
      </c>
      <c r="CC92" s="305">
        <f>BZ92/H92</f>
        <v>0.57731307896134165</v>
      </c>
      <c r="CD92" s="305">
        <f>+$AX92/G92</f>
        <v>17.973421926910298</v>
      </c>
      <c r="CE92" s="305">
        <f>+$AX92/H92</f>
        <v>2.9955703211517166</v>
      </c>
      <c r="CF92" s="305">
        <f>BB92+BV92</f>
        <v>62.27342899484465</v>
      </c>
      <c r="CG92" s="305">
        <f>CB92+CF92</f>
        <v>65.737307468612698</v>
      </c>
      <c r="CH92" s="305">
        <f>CF92+CD92</f>
        <v>80.246850921754941</v>
      </c>
      <c r="CI92" s="305">
        <f>+BC92+BW92</f>
        <v>10.37890483247411</v>
      </c>
      <c r="CJ92" s="305">
        <f>+CI92+CC92</f>
        <v>10.956217911435452</v>
      </c>
      <c r="CK92" s="305">
        <f>+CI92+CE92</f>
        <v>13.374475153625827</v>
      </c>
      <c r="CL92" s="307">
        <v>4</v>
      </c>
      <c r="CM92" s="305">
        <f>+CF92/10</f>
        <v>6.2273428994844648</v>
      </c>
      <c r="CN92" s="305">
        <f>+CM92*G92</f>
        <v>374.88604254896478</v>
      </c>
      <c r="CO92" s="308">
        <f>+CN92/AX92</f>
        <v>0.3464750855350876</v>
      </c>
      <c r="CP92" s="309"/>
      <c r="CQ92" s="329">
        <v>4913</v>
      </c>
      <c r="CR92" s="325"/>
      <c r="CS92" s="336">
        <f>+$DE$92/4</f>
        <v>78.75</v>
      </c>
      <c r="CT92" s="337">
        <f>+CS92/CU92</f>
        <v>37.5</v>
      </c>
      <c r="CU92" s="338">
        <f>+$DG$92</f>
        <v>2.1</v>
      </c>
      <c r="CV92" s="336">
        <f>+$DE$92/4</f>
        <v>78.75</v>
      </c>
      <c r="CW92" s="337">
        <f>+CV92/CX92</f>
        <v>37.5</v>
      </c>
      <c r="CX92" s="338">
        <f>+$DG$92</f>
        <v>2.1</v>
      </c>
      <c r="CY92" s="336">
        <f>+$DE$92/4</f>
        <v>78.75</v>
      </c>
      <c r="CZ92" s="337">
        <f>+CY92/DA92</f>
        <v>37.5</v>
      </c>
      <c r="DA92" s="338">
        <f>+$DG$92</f>
        <v>2.1</v>
      </c>
      <c r="DB92" s="337">
        <f t="shared" si="380"/>
        <v>78.75</v>
      </c>
      <c r="DC92" s="337">
        <f t="shared" si="380"/>
        <v>37.5</v>
      </c>
      <c r="DD92" s="338">
        <f>+DB92/DC92</f>
        <v>2.1</v>
      </c>
      <c r="DE92" s="337">
        <f>+DF92*DG92</f>
        <v>315</v>
      </c>
      <c r="DF92" s="337">
        <v>150</v>
      </c>
      <c r="DG92" s="338">
        <v>2.1</v>
      </c>
      <c r="DH92" s="337">
        <f>+$DT$92/4</f>
        <v>270.17399999999998</v>
      </c>
      <c r="DI92" s="339">
        <f>+DH92/DJ92</f>
        <v>5.55</v>
      </c>
      <c r="DJ92" s="340">
        <f>+$DV$92</f>
        <v>48.68</v>
      </c>
      <c r="DK92" s="337">
        <f>+$DT$92/4</f>
        <v>270.17399999999998</v>
      </c>
      <c r="DL92" s="339">
        <f>+DK92/DM92</f>
        <v>5.55</v>
      </c>
      <c r="DM92" s="340">
        <f>+$DV$92</f>
        <v>48.68</v>
      </c>
      <c r="DN92" s="337">
        <f>+$DT$92/4</f>
        <v>270.17399999999998</v>
      </c>
      <c r="DO92" s="339">
        <f>+DN92/DP92</f>
        <v>5.55</v>
      </c>
      <c r="DP92" s="340">
        <f>+$DV$92</f>
        <v>48.68</v>
      </c>
      <c r="DQ92" s="337">
        <f t="shared" si="381"/>
        <v>270.17399999999998</v>
      </c>
      <c r="DR92" s="337">
        <f t="shared" si="381"/>
        <v>5.549999999999998</v>
      </c>
      <c r="DS92" s="340">
        <f>+DQ92/DR92</f>
        <v>48.680000000000014</v>
      </c>
      <c r="DT92" s="337">
        <f>+DU92*DV92</f>
        <v>1080.6959999999999</v>
      </c>
      <c r="DU92" s="337">
        <v>22.2</v>
      </c>
      <c r="DV92" s="340">
        <v>48.68</v>
      </c>
      <c r="DW92" s="337">
        <f>+$EI$92/4</f>
        <v>92.612499999999997</v>
      </c>
      <c r="DX92" s="339">
        <f>+DW92/DY92</f>
        <v>3.875</v>
      </c>
      <c r="DY92" s="340">
        <f>+$EK$92</f>
        <v>23.9</v>
      </c>
      <c r="DZ92" s="337">
        <f>+$EI$92/4</f>
        <v>92.612499999999997</v>
      </c>
      <c r="EA92" s="339">
        <f>+DZ92/EB92</f>
        <v>3.875</v>
      </c>
      <c r="EB92" s="340">
        <f>+$EK$92</f>
        <v>23.9</v>
      </c>
      <c r="EC92" s="337">
        <f>+$EI$92/4</f>
        <v>92.612499999999997</v>
      </c>
      <c r="ED92" s="339">
        <f>+EC92/EE92</f>
        <v>3.875</v>
      </c>
      <c r="EE92" s="340">
        <f>+$EK$92</f>
        <v>23.9</v>
      </c>
      <c r="EF92" s="337">
        <f t="shared" si="382"/>
        <v>92.612499999999969</v>
      </c>
      <c r="EG92" s="337">
        <f t="shared" si="382"/>
        <v>3.875</v>
      </c>
      <c r="EH92" s="340">
        <f>+EF92/EG92</f>
        <v>23.899999999999991</v>
      </c>
      <c r="EI92" s="337">
        <f>+EJ92*EK92</f>
        <v>370.45</v>
      </c>
      <c r="EJ92" s="337">
        <v>15.5</v>
      </c>
      <c r="EK92" s="341">
        <v>23.9</v>
      </c>
      <c r="EL92" s="345">
        <v>43.2</v>
      </c>
      <c r="EM92" s="345">
        <v>2.52</v>
      </c>
      <c r="EN92" s="345">
        <v>5.04</v>
      </c>
      <c r="EO92" s="332">
        <v>1.99</v>
      </c>
      <c r="EP92" s="332">
        <v>2.15</v>
      </c>
      <c r="EQ92" s="332">
        <v>2.88</v>
      </c>
      <c r="ER92" s="332">
        <v>3.04</v>
      </c>
      <c r="ES92" s="332">
        <v>4.0199999999999996</v>
      </c>
      <c r="ET92" s="332">
        <v>5</v>
      </c>
      <c r="EU92" s="332">
        <v>5.04</v>
      </c>
      <c r="EV92" s="332">
        <v>6.05</v>
      </c>
      <c r="EW92" s="332">
        <v>33.35</v>
      </c>
      <c r="EX92" s="332">
        <v>45.46</v>
      </c>
      <c r="EY92" s="332">
        <v>44.85</v>
      </c>
      <c r="EZ92" s="332">
        <v>49.14</v>
      </c>
    </row>
    <row r="93" spans="1:156" ht="26.25" customHeight="1" x14ac:dyDescent="0.3">
      <c r="A93" s="24" t="s">
        <v>50</v>
      </c>
      <c r="B93" s="24" t="s">
        <v>51</v>
      </c>
      <c r="C93" s="1">
        <v>2007</v>
      </c>
      <c r="D93" s="25">
        <v>360.6</v>
      </c>
      <c r="E93" s="25">
        <v>13.042999999999999</v>
      </c>
      <c r="F93" s="25">
        <v>0</v>
      </c>
      <c r="G93" s="25">
        <f t="shared" si="0"/>
        <v>73.143000000000001</v>
      </c>
      <c r="H93" s="25">
        <f t="shared" si="1"/>
        <v>438.858</v>
      </c>
      <c r="I93" s="25">
        <f>81.6+91.8+8.6</f>
        <v>181.99999999999997</v>
      </c>
      <c r="J93" s="25">
        <f>1.1269+1.494+0.035</f>
        <v>2.6558999999999999</v>
      </c>
      <c r="K93" s="25">
        <v>0</v>
      </c>
      <c r="L93" s="25">
        <f t="shared" si="2"/>
        <v>32.989233333333331</v>
      </c>
      <c r="M93" s="25">
        <f t="shared" si="3"/>
        <v>197.93539999999996</v>
      </c>
      <c r="N93" s="25">
        <f t="shared" si="309"/>
        <v>106.13223333333333</v>
      </c>
      <c r="O93" s="25">
        <f t="shared" si="309"/>
        <v>636.79340000000002</v>
      </c>
      <c r="P93" s="26">
        <f t="shared" si="5"/>
        <v>0.68916857492555672</v>
      </c>
      <c r="Q93" s="26">
        <f t="shared" si="306"/>
        <v>0.82167808265999487</v>
      </c>
      <c r="R93" s="26">
        <f t="shared" si="12"/>
        <v>0.17832191734000519</v>
      </c>
      <c r="S93" s="26">
        <f t="shared" si="13"/>
        <v>0</v>
      </c>
      <c r="T93" s="207">
        <v>40.072000000000003</v>
      </c>
      <c r="U93" s="207">
        <v>0</v>
      </c>
      <c r="V93" s="207">
        <v>1078.3</v>
      </c>
      <c r="W93" s="25">
        <f t="shared" ref="W93:W120" si="383">+T93*6+U93*6+V93</f>
        <v>1318.732</v>
      </c>
      <c r="X93" s="25"/>
      <c r="Y93" s="25">
        <f>+T93+U93+V93/6</f>
        <v>219.78866666666667</v>
      </c>
      <c r="Z93" s="25"/>
      <c r="AA93" s="25"/>
      <c r="AB93" s="27"/>
      <c r="AC93" s="28">
        <v>-63.2</v>
      </c>
      <c r="AD93" s="28">
        <v>1177.5</v>
      </c>
      <c r="AE93" s="28">
        <v>1.2</v>
      </c>
      <c r="AF93" s="28">
        <v>0</v>
      </c>
      <c r="AG93" s="29">
        <f>SUM(AC93:AF93)</f>
        <v>1115.5</v>
      </c>
      <c r="AH93" s="28">
        <v>27.933</v>
      </c>
      <c r="AI93" s="28">
        <v>49.417999999999999</v>
      </c>
      <c r="AJ93" s="28">
        <v>3.6999999999999998E-2</v>
      </c>
      <c r="AK93" s="28">
        <v>0</v>
      </c>
      <c r="AL93" s="29">
        <f t="shared" si="307"/>
        <v>77.388000000000005</v>
      </c>
      <c r="AM93" s="28">
        <v>0</v>
      </c>
      <c r="AN93" s="28">
        <v>0</v>
      </c>
      <c r="AO93" s="28">
        <v>0</v>
      </c>
      <c r="AP93" s="28">
        <v>0</v>
      </c>
      <c r="AQ93" s="29">
        <f t="shared" ref="AQ93:AQ99" si="384">SUM(AM93:AP93)</f>
        <v>0</v>
      </c>
      <c r="AR93" s="29">
        <f t="shared" si="9"/>
        <v>1579.828</v>
      </c>
      <c r="AS93" s="29">
        <f t="shared" si="10"/>
        <v>263.30466666666666</v>
      </c>
      <c r="AT93" s="30">
        <v>233.33699999999999</v>
      </c>
      <c r="AU93" s="30">
        <v>3.887</v>
      </c>
      <c r="AV93" s="30">
        <v>435.94400000000002</v>
      </c>
      <c r="AW93" s="30">
        <f>2358.258-22</f>
        <v>2336.2579999999998</v>
      </c>
      <c r="AX93" s="31">
        <f t="shared" si="164"/>
        <v>3009.4259999999999</v>
      </c>
      <c r="AY93" s="25"/>
      <c r="AZ93" s="25"/>
      <c r="BA93" s="25"/>
      <c r="BB93" s="31"/>
      <c r="BC93" s="31"/>
      <c r="BD93" s="27" t="s">
        <v>52</v>
      </c>
      <c r="BE93" s="32"/>
      <c r="BF93" s="33"/>
      <c r="BG93" s="34"/>
      <c r="BH93" s="32"/>
      <c r="BI93" s="33"/>
      <c r="BJ93" s="34"/>
      <c r="BK93" s="32"/>
      <c r="BL93" s="33"/>
      <c r="BM93" s="34"/>
      <c r="BN93" s="32"/>
      <c r="BO93" s="33"/>
      <c r="BP93" s="34"/>
      <c r="BQ93" s="32"/>
      <c r="BR93" s="34">
        <v>0</v>
      </c>
      <c r="BS93" s="34">
        <v>0</v>
      </c>
      <c r="BT93" s="34"/>
      <c r="BU93" s="35"/>
      <c r="BV93" s="31"/>
      <c r="BW93" s="31"/>
      <c r="BX93" s="27"/>
      <c r="BY93" s="88"/>
      <c r="BZ93" s="36"/>
      <c r="CA93" s="36"/>
      <c r="CB93" s="36"/>
      <c r="CC93" s="36"/>
      <c r="CD93" s="36"/>
      <c r="CE93" s="36"/>
      <c r="CF93" s="36"/>
      <c r="CG93" s="36"/>
      <c r="CH93" s="36"/>
      <c r="CI93" s="36"/>
      <c r="CJ93" s="36"/>
      <c r="CK93" s="36"/>
      <c r="CL93" s="37">
        <v>4</v>
      </c>
      <c r="CM93" s="37"/>
      <c r="CN93" s="37"/>
      <c r="CO93" s="37"/>
      <c r="CP93" s="327"/>
      <c r="CQ93" s="327"/>
      <c r="CS93" s="293"/>
      <c r="CT93" s="227"/>
      <c r="CU93" s="227"/>
      <c r="CV93" s="227"/>
      <c r="CW93" s="227"/>
      <c r="CX93" s="227"/>
      <c r="CY93" s="227"/>
      <c r="CZ93" s="227"/>
      <c r="DA93" s="227"/>
      <c r="DB93" s="227"/>
      <c r="DC93" s="227"/>
      <c r="DD93" s="227"/>
      <c r="DE93" s="275"/>
      <c r="DF93" s="275"/>
      <c r="DG93" s="275"/>
      <c r="DH93" s="226"/>
      <c r="DI93" s="226"/>
      <c r="DJ93" s="226"/>
      <c r="DK93" s="226"/>
      <c r="DL93" s="226"/>
      <c r="DM93" s="226"/>
      <c r="DN93" s="226"/>
      <c r="DO93" s="226"/>
      <c r="DP93" s="226"/>
      <c r="DQ93" s="226"/>
      <c r="DR93" s="226"/>
      <c r="DS93" s="226"/>
      <c r="DT93" s="278"/>
      <c r="DU93" s="278"/>
      <c r="DV93" s="278"/>
      <c r="DW93" s="280"/>
      <c r="DX93" s="280"/>
      <c r="DY93" s="280"/>
      <c r="DZ93" s="280"/>
      <c r="EA93" s="280"/>
      <c r="EB93" s="280"/>
      <c r="EC93" s="280"/>
      <c r="ED93" s="280"/>
      <c r="EE93" s="280"/>
      <c r="EF93" s="280"/>
      <c r="EG93" s="280"/>
      <c r="EH93" s="280"/>
      <c r="EI93" s="283"/>
      <c r="EJ93" s="283"/>
      <c r="EK93" s="294"/>
      <c r="EL93" s="343">
        <v>72.34</v>
      </c>
      <c r="EM93" s="343">
        <v>6.97</v>
      </c>
      <c r="EN93" s="343">
        <v>12.91</v>
      </c>
      <c r="EO93" s="116"/>
      <c r="EP93" s="116"/>
      <c r="EQ93" s="116"/>
      <c r="ER93" s="116"/>
      <c r="ES93" s="116"/>
      <c r="ET93" s="116"/>
      <c r="EU93" s="116"/>
      <c r="EV93" s="116"/>
      <c r="EW93" s="116"/>
      <c r="EX93" s="116"/>
      <c r="EY93" s="116"/>
      <c r="EZ93" s="116"/>
    </row>
    <row r="94" spans="1:156" ht="26.25" customHeight="1" x14ac:dyDescent="0.3">
      <c r="A94" s="24" t="s">
        <v>50</v>
      </c>
      <c r="B94" s="24" t="s">
        <v>51</v>
      </c>
      <c r="C94" s="1">
        <v>2008</v>
      </c>
      <c r="D94" s="25">
        <v>436</v>
      </c>
      <c r="E94" s="25">
        <v>14.487</v>
      </c>
      <c r="F94" s="25">
        <v>5.484</v>
      </c>
      <c r="G94" s="25">
        <f t="shared" si="0"/>
        <v>92.637666666666661</v>
      </c>
      <c r="H94" s="25">
        <f t="shared" si="1"/>
        <v>555.82600000000002</v>
      </c>
      <c r="I94" s="25">
        <f>81.1+80.4+6</f>
        <v>167.5</v>
      </c>
      <c r="J94" s="25">
        <f>0.982+1.161+0.02</f>
        <v>2.1629999999999998</v>
      </c>
      <c r="K94" s="25">
        <v>0.36099999999999999</v>
      </c>
      <c r="L94" s="25">
        <f t="shared" si="2"/>
        <v>30.440666666666669</v>
      </c>
      <c r="M94" s="25">
        <f t="shared" si="3"/>
        <v>182.64400000000001</v>
      </c>
      <c r="N94" s="25">
        <f t="shared" si="309"/>
        <v>123.07833333333333</v>
      </c>
      <c r="O94" s="25">
        <f t="shared" si="309"/>
        <v>738.47</v>
      </c>
      <c r="P94" s="26">
        <f t="shared" si="5"/>
        <v>0.7526724172952185</v>
      </c>
      <c r="Q94" s="26">
        <f t="shared" si="306"/>
        <v>0.78441814524689379</v>
      </c>
      <c r="R94" s="26">
        <f t="shared" ref="R94:R159" si="385">E94/G94</f>
        <v>0.15638347252557455</v>
      </c>
      <c r="S94" s="26">
        <f t="shared" ref="S94:S159" si="386">F94/G94</f>
        <v>5.919838222753164E-2</v>
      </c>
      <c r="T94" s="207">
        <v>46.238999999999997</v>
      </c>
      <c r="U94" s="207">
        <v>0</v>
      </c>
      <c r="V94" s="207">
        <v>1344.3</v>
      </c>
      <c r="W94" s="25">
        <f t="shared" si="383"/>
        <v>1621.7339999999999</v>
      </c>
      <c r="X94" s="25">
        <f t="shared" ref="X94:X101" si="387">W94-W93</f>
        <v>303.00199999999995</v>
      </c>
      <c r="Y94" s="25">
        <f t="shared" ref="Y94:Y101" si="388">+T94+U94+V94/6</f>
        <v>270.28899999999999</v>
      </c>
      <c r="Z94" s="25">
        <f t="shared" ref="Z94:Z101" si="389">Y94-Y93</f>
        <v>50.500333333333316</v>
      </c>
      <c r="AA94" s="204">
        <f>+Z94/Y93</f>
        <v>0.22976768592860405</v>
      </c>
      <c r="AB94" s="27"/>
      <c r="AC94" s="28">
        <v>-110.3</v>
      </c>
      <c r="AD94" s="28">
        <v>1384.4</v>
      </c>
      <c r="AE94" s="28">
        <v>31</v>
      </c>
      <c r="AF94" s="28">
        <v>0</v>
      </c>
      <c r="AG94" s="29">
        <f t="shared" si="17"/>
        <v>1305.1000000000001</v>
      </c>
      <c r="AH94" s="28">
        <v>-1.5920000000000001</v>
      </c>
      <c r="AI94" s="28">
        <v>67.876999999999995</v>
      </c>
      <c r="AJ94" s="28">
        <v>6.0000000000000001E-3</v>
      </c>
      <c r="AK94" s="28">
        <v>0</v>
      </c>
      <c r="AL94" s="29">
        <f t="shared" si="307"/>
        <v>66.290999999999997</v>
      </c>
      <c r="AM94" s="28">
        <v>0</v>
      </c>
      <c r="AN94" s="28">
        <v>0</v>
      </c>
      <c r="AO94" s="28">
        <v>0</v>
      </c>
      <c r="AP94" s="28">
        <v>0</v>
      </c>
      <c r="AQ94" s="29">
        <f t="shared" si="384"/>
        <v>0</v>
      </c>
      <c r="AR94" s="29">
        <f t="shared" si="9"/>
        <v>1702.846</v>
      </c>
      <c r="AS94" s="29">
        <f t="shared" si="10"/>
        <v>283.80766666666671</v>
      </c>
      <c r="AT94" s="30">
        <v>376.017</v>
      </c>
      <c r="AU94" s="30">
        <v>69.611999999999995</v>
      </c>
      <c r="AV94" s="30">
        <v>550.72500000000002</v>
      </c>
      <c r="AW94" s="30">
        <f>3405.627-107</f>
        <v>3298.627</v>
      </c>
      <c r="AX94" s="31">
        <f t="shared" ref="AX94:AX148" si="390">SUM(AT94:AW94)</f>
        <v>4294.9809999999998</v>
      </c>
      <c r="AY94" s="25"/>
      <c r="AZ94" s="25"/>
      <c r="BA94" s="25"/>
      <c r="BC94" s="31"/>
      <c r="BD94" s="27" t="s">
        <v>52</v>
      </c>
      <c r="BE94" s="32"/>
      <c r="BF94" s="33"/>
      <c r="BG94" s="34"/>
      <c r="BH94" s="32"/>
      <c r="BI94" s="33"/>
      <c r="BJ94" s="34"/>
      <c r="BK94" s="32"/>
      <c r="BL94" s="33"/>
      <c r="BM94" s="34"/>
      <c r="BN94" s="32"/>
      <c r="BO94" s="33"/>
      <c r="BP94" s="34"/>
      <c r="BQ94" s="32"/>
      <c r="BR94" s="57">
        <v>0</v>
      </c>
      <c r="BS94" s="57">
        <v>0</v>
      </c>
      <c r="BT94" s="57"/>
      <c r="BU94" s="35"/>
      <c r="BV94" s="31"/>
      <c r="BW94" s="31"/>
      <c r="BX94" s="27"/>
      <c r="BY94" s="88"/>
      <c r="BZ94" s="38"/>
      <c r="CA94" s="36"/>
      <c r="CB94" s="38"/>
      <c r="CC94" s="36"/>
      <c r="CD94" s="36"/>
      <c r="CE94" s="36"/>
      <c r="CF94" s="89"/>
      <c r="CG94" s="36"/>
      <c r="CH94" s="36"/>
      <c r="CI94" s="36"/>
      <c r="CJ94" s="36"/>
      <c r="CK94" s="36"/>
      <c r="CL94" s="37">
        <v>4</v>
      </c>
      <c r="CM94" s="37"/>
      <c r="CN94" s="38"/>
      <c r="CO94" s="38"/>
      <c r="CP94" s="327"/>
      <c r="CQ94" s="327"/>
      <c r="CS94" s="271"/>
      <c r="CT94" s="133"/>
      <c r="CU94" s="133"/>
      <c r="CV94" s="133"/>
      <c r="CW94" s="133"/>
      <c r="CX94" s="133"/>
      <c r="CY94" s="133"/>
      <c r="CZ94" s="133"/>
      <c r="DA94" s="133"/>
      <c r="DB94" s="133"/>
      <c r="DC94" s="133"/>
      <c r="DD94" s="133"/>
      <c r="DE94" s="273"/>
      <c r="DF94" s="273"/>
      <c r="DG94" s="273"/>
      <c r="DH94" s="132"/>
      <c r="DI94" s="132"/>
      <c r="DJ94" s="132"/>
      <c r="DK94" s="132"/>
      <c r="DL94" s="132"/>
      <c r="DM94" s="132"/>
      <c r="DN94" s="132"/>
      <c r="DO94" s="132"/>
      <c r="DP94" s="132"/>
      <c r="DQ94" s="132"/>
      <c r="DR94" s="132"/>
      <c r="DS94" s="132"/>
      <c r="DT94" s="276"/>
      <c r="DU94" s="276"/>
      <c r="DV94" s="276"/>
      <c r="DW94" s="279"/>
      <c r="DX94" s="279"/>
      <c r="DY94" s="279"/>
      <c r="DZ94" s="279"/>
      <c r="EA94" s="279"/>
      <c r="EB94" s="279"/>
      <c r="EC94" s="279"/>
      <c r="ED94" s="279"/>
      <c r="EE94" s="279"/>
      <c r="EF94" s="279"/>
      <c r="EG94" s="279"/>
      <c r="EH94" s="279"/>
      <c r="EI94" s="281"/>
      <c r="EJ94" s="281"/>
      <c r="EK94" s="295"/>
      <c r="EL94" s="343">
        <v>99.67</v>
      </c>
      <c r="EM94" s="343">
        <v>8.86</v>
      </c>
      <c r="EN94" s="343">
        <v>15.2</v>
      </c>
      <c r="EO94" s="116"/>
      <c r="EP94" s="116"/>
      <c r="EQ94" s="116"/>
      <c r="ER94" s="116"/>
      <c r="ES94" s="116"/>
      <c r="ET94" s="116"/>
      <c r="EU94" s="116"/>
      <c r="EV94" s="116"/>
      <c r="EW94" s="116"/>
      <c r="EX94" s="116"/>
      <c r="EY94" s="116"/>
      <c r="EZ94" s="116"/>
    </row>
    <row r="95" spans="1:156" ht="26.25" customHeight="1" x14ac:dyDescent="0.3">
      <c r="A95" s="24" t="s">
        <v>50</v>
      </c>
      <c r="B95" s="24" t="s">
        <v>51</v>
      </c>
      <c r="C95" s="1">
        <v>2009</v>
      </c>
      <c r="D95" s="25">
        <v>422.3</v>
      </c>
      <c r="E95" s="25">
        <v>17.494</v>
      </c>
      <c r="F95" s="25">
        <v>8.2200000000000006</v>
      </c>
      <c r="G95" s="25">
        <f t="shared" si="0"/>
        <v>96.097333333333339</v>
      </c>
      <c r="H95" s="25">
        <f t="shared" si="1"/>
        <v>576.58400000000006</v>
      </c>
      <c r="I95" s="25">
        <f>81.9+107.4+5.2</f>
        <v>194.5</v>
      </c>
      <c r="J95" s="25">
        <f>1.492+1.123+0.024</f>
        <v>2.6390000000000002</v>
      </c>
      <c r="K95" s="25">
        <v>0.39300000000000002</v>
      </c>
      <c r="L95" s="25">
        <f t="shared" si="2"/>
        <v>35.448666666666668</v>
      </c>
      <c r="M95" s="25">
        <f t="shared" si="3"/>
        <v>212.69200000000001</v>
      </c>
      <c r="N95" s="25">
        <f t="shared" si="309"/>
        <v>131.54599999999999</v>
      </c>
      <c r="O95" s="25">
        <f t="shared" si="309"/>
        <v>789.27600000000007</v>
      </c>
      <c r="P95" s="26">
        <f t="shared" si="5"/>
        <v>0.73052265620644741</v>
      </c>
      <c r="Q95" s="26">
        <f t="shared" si="306"/>
        <v>0.73241713262941732</v>
      </c>
      <c r="R95" s="26">
        <f t="shared" si="385"/>
        <v>0.1820445936758564</v>
      </c>
      <c r="S95" s="26">
        <f t="shared" si="386"/>
        <v>8.5538273694726177E-2</v>
      </c>
      <c r="T95" s="207">
        <v>90.619</v>
      </c>
      <c r="U95" s="207">
        <v>0</v>
      </c>
      <c r="V95" s="207">
        <v>3020</v>
      </c>
      <c r="W95" s="25">
        <f t="shared" si="383"/>
        <v>3563.7139999999999</v>
      </c>
      <c r="X95" s="25">
        <f t="shared" si="387"/>
        <v>1941.98</v>
      </c>
      <c r="Y95" s="25">
        <f t="shared" si="388"/>
        <v>593.95233333333329</v>
      </c>
      <c r="Z95" s="25">
        <f t="shared" si="389"/>
        <v>323.6633333333333</v>
      </c>
      <c r="AA95" s="204">
        <f>+Z95/Y94</f>
        <v>1.1974713485688775</v>
      </c>
      <c r="AB95" s="27"/>
      <c r="AC95" s="28">
        <v>-378</v>
      </c>
      <c r="AD95" s="28">
        <v>1925</v>
      </c>
      <c r="AE95" s="28">
        <v>450.8</v>
      </c>
      <c r="AF95" s="28">
        <v>0</v>
      </c>
      <c r="AG95" s="29">
        <f t="shared" si="17"/>
        <v>1997.8</v>
      </c>
      <c r="AH95" s="28">
        <v>4.4020000000000001</v>
      </c>
      <c r="AI95" s="28">
        <v>58.258000000000003</v>
      </c>
      <c r="AJ95" s="28">
        <v>15.666</v>
      </c>
      <c r="AK95" s="28">
        <v>0</v>
      </c>
      <c r="AL95" s="29">
        <f t="shared" si="307"/>
        <v>78.326000000000008</v>
      </c>
      <c r="AM95" s="28">
        <v>6.109</v>
      </c>
      <c r="AN95" s="28">
        <v>18.545999999999999</v>
      </c>
      <c r="AO95" s="28">
        <v>8.9999999999999993E-3</v>
      </c>
      <c r="AP95" s="28">
        <v>0</v>
      </c>
      <c r="AQ95" s="29">
        <f t="shared" si="384"/>
        <v>24.664000000000001</v>
      </c>
      <c r="AR95" s="29">
        <f t="shared" si="9"/>
        <v>2615.7399999999998</v>
      </c>
      <c r="AS95" s="29">
        <f t="shared" si="10"/>
        <v>435.95666666666665</v>
      </c>
      <c r="AT95" s="30">
        <f>648.331</f>
        <v>648.33100000000002</v>
      </c>
      <c r="AU95" s="30">
        <f>464.362-353</f>
        <v>111.36200000000002</v>
      </c>
      <c r="AV95" s="30">
        <v>473.48899999999998</v>
      </c>
      <c r="AW95" s="30">
        <f>1898.859-60</f>
        <v>1838.8589999999999</v>
      </c>
      <c r="AX95" s="31">
        <f t="shared" si="390"/>
        <v>3072.0410000000002</v>
      </c>
      <c r="AY95" s="25">
        <f t="shared" ref="AY95:AY100" si="391">SUM(AX93:AX95)</f>
        <v>10376.448</v>
      </c>
      <c r="AZ95" s="25">
        <f t="shared" ref="AZ95:AZ101" si="392">SUM(AS93:AS95)</f>
        <v>983.06899999999996</v>
      </c>
      <c r="BA95" s="25">
        <f t="shared" ref="BA95:BA101" si="393">SUM(AR93:AR95)</f>
        <v>5898.4139999999998</v>
      </c>
      <c r="BB95" s="31">
        <f t="shared" ref="BB95:BB100" si="394">AY95/AZ95</f>
        <v>10.555157369421678</v>
      </c>
      <c r="BC95" s="31">
        <f t="shared" ref="BC95:BC100" si="395">AY95/BA95</f>
        <v>1.7591928949036133</v>
      </c>
      <c r="BD95" s="27" t="s">
        <v>52</v>
      </c>
      <c r="BE95" s="32">
        <v>827</v>
      </c>
      <c r="BF95" s="34">
        <v>248.274</v>
      </c>
      <c r="BG95" s="34">
        <v>0</v>
      </c>
      <c r="BH95" s="32">
        <f>IF(BG95=0,BF95*$BT95,BG95)</f>
        <v>161.97222152029346</v>
      </c>
      <c r="BI95" s="34">
        <v>51.683999999999997</v>
      </c>
      <c r="BJ95" s="34">
        <v>0</v>
      </c>
      <c r="BK95" s="32">
        <f>IF(BJ95=0,BI95*$BT95,BJ95)</f>
        <v>33.71828019468348</v>
      </c>
      <c r="BL95" s="34"/>
      <c r="BM95" s="34">
        <v>0</v>
      </c>
      <c r="BN95" s="32">
        <f t="shared" ref="BN95:BN101" si="396">IF(BM95=0,BL95*P95*BR95/BS95,BM95)</f>
        <v>0</v>
      </c>
      <c r="BO95" s="34">
        <v>155.82</v>
      </c>
      <c r="BP95" s="34">
        <v>0</v>
      </c>
      <c r="BQ95" s="32">
        <f>IF(BP95=0,BO95*$BT95,BP95)</f>
        <v>101.65587841373694</v>
      </c>
      <c r="BR95" s="34">
        <v>3399.473</v>
      </c>
      <c r="BS95" s="34">
        <v>3806.5889999999999</v>
      </c>
      <c r="BT95" s="201">
        <f t="shared" ref="BT95:BT101" si="397">+P95*BR95/BS95</f>
        <v>0.65239300740429307</v>
      </c>
      <c r="BU95" s="35">
        <f t="shared" ref="BU95:BU101" si="398">BQ95+BN95+BK95+BH95+BE95</f>
        <v>1124.3463801287139</v>
      </c>
      <c r="BV95" s="31">
        <f t="shared" ref="BV95:BV101" si="399">BU95/G95</f>
        <v>11.700078879698852</v>
      </c>
      <c r="BW95" s="31">
        <f t="shared" ref="BW95:BW101" si="400">BU95/H95</f>
        <v>1.9500131466164754</v>
      </c>
      <c r="BX95" s="27" t="s">
        <v>53</v>
      </c>
      <c r="BY95" s="90">
        <f t="shared" ref="BY95:BY101" si="401">BU95+AX95</f>
        <v>4196.3873801287136</v>
      </c>
      <c r="BZ95" s="38">
        <f t="shared" ref="BZ95:BZ100" si="402">(BY95*0.1)</f>
        <v>419.63873801287139</v>
      </c>
      <c r="CA95" s="140">
        <f t="shared" ref="CA95:CA101" si="403">+BZ95/AX95</f>
        <v>0.13659932859387988</v>
      </c>
      <c r="CB95" s="38">
        <f t="shared" ref="CB95:CB101" si="404">BZ95/G95</f>
        <v>4.3668093947754851</v>
      </c>
      <c r="CC95" s="38">
        <f t="shared" ref="CC95:CC101" si="405">BZ95/H95</f>
        <v>0.72780156579591415</v>
      </c>
      <c r="CD95" s="38">
        <f t="shared" ref="CD95:CE101" si="406">+$AX95/G95</f>
        <v>31.968015068055998</v>
      </c>
      <c r="CE95" s="38">
        <f t="shared" si="406"/>
        <v>5.3280025113426666</v>
      </c>
      <c r="CF95" s="38">
        <f t="shared" ref="CF95:CF101" si="407">BB95+BV95</f>
        <v>22.255236249120529</v>
      </c>
      <c r="CG95" s="38">
        <f t="shared" ref="CG95:CG100" si="408">CB95+CF95</f>
        <v>26.622045643896016</v>
      </c>
      <c r="CH95" s="38">
        <f t="shared" ref="CH95:CH100" si="409">CF95+CD95</f>
        <v>54.223251317176526</v>
      </c>
      <c r="CI95" s="38">
        <f t="shared" ref="CI95:CI101" si="410">+BC95+BW95</f>
        <v>3.7092060415200887</v>
      </c>
      <c r="CJ95" s="38">
        <f t="shared" ref="CJ95:CJ100" si="411">+CI95+CC95</f>
        <v>4.4370076073160032</v>
      </c>
      <c r="CK95" s="38">
        <f t="shared" ref="CK95:CK100" si="412">+CI95+CE95</f>
        <v>9.0372085528627544</v>
      </c>
      <c r="CL95" s="37">
        <v>4</v>
      </c>
      <c r="CM95" s="38">
        <f t="shared" ref="CM95:CM101" si="413">+CF95/10</f>
        <v>2.2255236249120527</v>
      </c>
      <c r="CN95" s="38">
        <f t="shared" ref="CN95:CN101" si="414">+CM95*G95</f>
        <v>213.86688562438184</v>
      </c>
      <c r="CO95" s="145">
        <f t="shared" ref="CO95:CO101" si="415">+CN95/AX95</f>
        <v>6.9617197695076932E-2</v>
      </c>
      <c r="CP95" s="62">
        <v>118.459</v>
      </c>
      <c r="CQ95" s="327"/>
      <c r="CS95" s="271"/>
      <c r="CT95" s="133"/>
      <c r="CU95" s="133"/>
      <c r="CV95" s="133"/>
      <c r="CW95" s="133"/>
      <c r="CX95" s="133"/>
      <c r="CY95" s="133"/>
      <c r="CZ95" s="133"/>
      <c r="DA95" s="133"/>
      <c r="DB95" s="133"/>
      <c r="DC95" s="133"/>
      <c r="DD95" s="133"/>
      <c r="DE95" s="273"/>
      <c r="DF95" s="273"/>
      <c r="DG95" s="273"/>
      <c r="DH95" s="132"/>
      <c r="DI95" s="132"/>
      <c r="DJ95" s="132"/>
      <c r="DK95" s="132"/>
      <c r="DL95" s="132"/>
      <c r="DM95" s="132"/>
      <c r="DN95" s="132"/>
      <c r="DO95" s="132"/>
      <c r="DP95" s="132"/>
      <c r="DQ95" s="132"/>
      <c r="DR95" s="132"/>
      <c r="DS95" s="132"/>
      <c r="DT95" s="276"/>
      <c r="DU95" s="276"/>
      <c r="DV95" s="276"/>
      <c r="DW95" s="279"/>
      <c r="DX95" s="279"/>
      <c r="DY95" s="279"/>
      <c r="DZ95" s="279"/>
      <c r="EA95" s="279"/>
      <c r="EB95" s="279"/>
      <c r="EC95" s="279"/>
      <c r="ED95" s="279"/>
      <c r="EE95" s="279"/>
      <c r="EF95" s="279"/>
      <c r="EG95" s="279"/>
      <c r="EH95" s="279"/>
      <c r="EI95" s="281"/>
      <c r="EJ95" s="281"/>
      <c r="EK95" s="295"/>
      <c r="EL95" s="343">
        <v>61.95</v>
      </c>
      <c r="EM95" s="343">
        <v>3.94</v>
      </c>
      <c r="EN95" s="343">
        <v>8.99</v>
      </c>
      <c r="EO95" s="116"/>
      <c r="EP95" s="116"/>
      <c r="EQ95" s="116"/>
      <c r="ER95" s="116"/>
      <c r="ES95" s="116"/>
      <c r="ET95" s="116"/>
      <c r="EU95" s="116"/>
      <c r="EV95" s="116"/>
      <c r="EW95" s="116"/>
      <c r="EX95" s="116"/>
      <c r="EY95" s="116"/>
      <c r="EZ95" s="116"/>
    </row>
    <row r="96" spans="1:156" s="225" customFormat="1" ht="26.25" customHeight="1" x14ac:dyDescent="0.3">
      <c r="A96" s="24" t="s">
        <v>50</v>
      </c>
      <c r="B96" s="24" t="s">
        <v>51</v>
      </c>
      <c r="C96" s="1">
        <v>2010</v>
      </c>
      <c r="D96" s="25">
        <v>422.6</v>
      </c>
      <c r="E96" s="25">
        <v>23.091999999999999</v>
      </c>
      <c r="F96" s="25">
        <v>10.763999999999999</v>
      </c>
      <c r="G96" s="25">
        <f t="shared" si="0"/>
        <v>104.28933333333333</v>
      </c>
      <c r="H96" s="25">
        <f t="shared" si="1"/>
        <v>625.7360000000001</v>
      </c>
      <c r="I96" s="25">
        <f>73+132.6+5.2</f>
        <v>210.79999999999998</v>
      </c>
      <c r="J96" s="25">
        <f>2.455+1.709+0.028</f>
        <v>4.1919999999999993</v>
      </c>
      <c r="K96" s="25">
        <v>0.316</v>
      </c>
      <c r="L96" s="25">
        <f t="shared" si="2"/>
        <v>39.641333333333336</v>
      </c>
      <c r="M96" s="25">
        <f t="shared" si="3"/>
        <v>237.84799999999996</v>
      </c>
      <c r="N96" s="25">
        <f t="shared" si="309"/>
        <v>143.93066666666667</v>
      </c>
      <c r="O96" s="25">
        <f t="shared" si="309"/>
        <v>863.58400000000006</v>
      </c>
      <c r="P96" s="26">
        <f t="shared" si="5"/>
        <v>0.72458035350353878</v>
      </c>
      <c r="Q96" s="26">
        <f t="shared" si="306"/>
        <v>0.67536469054041948</v>
      </c>
      <c r="R96" s="26">
        <f t="shared" si="385"/>
        <v>0.22142245291944207</v>
      </c>
      <c r="S96" s="26">
        <f t="shared" si="386"/>
        <v>0.10321285654013833</v>
      </c>
      <c r="T96" s="207">
        <v>252.583</v>
      </c>
      <c r="U96" s="207">
        <v>0</v>
      </c>
      <c r="V96" s="207">
        <v>2971.7</v>
      </c>
      <c r="W96" s="25">
        <f t="shared" si="383"/>
        <v>4487.1980000000003</v>
      </c>
      <c r="X96" s="25">
        <f t="shared" si="387"/>
        <v>923.48400000000038</v>
      </c>
      <c r="Y96" s="25">
        <f t="shared" si="388"/>
        <v>747.86633333333327</v>
      </c>
      <c r="Z96" s="25">
        <f t="shared" si="389"/>
        <v>153.91399999999999</v>
      </c>
      <c r="AA96" s="204">
        <f t="shared" ref="AA96:AA101" si="416">+Z96/Y95</f>
        <v>0.25913527292032973</v>
      </c>
      <c r="AB96" s="27"/>
      <c r="AC96" s="28">
        <v>-222.7</v>
      </c>
      <c r="AD96" s="28">
        <v>821.3</v>
      </c>
      <c r="AE96" s="28">
        <v>0</v>
      </c>
      <c r="AF96" s="28">
        <v>0</v>
      </c>
      <c r="AG96" s="29">
        <f t="shared" si="17"/>
        <v>598.59999999999991</v>
      </c>
      <c r="AH96" s="28">
        <v>-8.3130000000000006</v>
      </c>
      <c r="AI96" s="28">
        <v>199.47900000000001</v>
      </c>
      <c r="AJ96" s="28">
        <v>1.2999999999999999E-2</v>
      </c>
      <c r="AK96" s="28">
        <v>0</v>
      </c>
      <c r="AL96" s="29">
        <f t="shared" si="307"/>
        <v>191.17900000000003</v>
      </c>
      <c r="AM96" s="28">
        <v>27.49</v>
      </c>
      <c r="AN96" s="28">
        <v>42.220999999999997</v>
      </c>
      <c r="AO96" s="28">
        <v>0</v>
      </c>
      <c r="AP96" s="28">
        <v>0</v>
      </c>
      <c r="AQ96" s="29">
        <f t="shared" si="384"/>
        <v>69.710999999999999</v>
      </c>
      <c r="AR96" s="29">
        <f t="shared" si="9"/>
        <v>2163.94</v>
      </c>
      <c r="AS96" s="29">
        <f t="shared" si="10"/>
        <v>360.65666666666669</v>
      </c>
      <c r="AT96" s="30">
        <v>403.50900000000001</v>
      </c>
      <c r="AU96" s="30">
        <v>0</v>
      </c>
      <c r="AV96" s="30">
        <v>454.37899999999996</v>
      </c>
      <c r="AW96" s="30">
        <f>3892.403-71</f>
        <v>3821.4029999999998</v>
      </c>
      <c r="AX96" s="31">
        <f t="shared" si="390"/>
        <v>4679.2909999999993</v>
      </c>
      <c r="AY96" s="25">
        <f t="shared" si="391"/>
        <v>12046.312999999998</v>
      </c>
      <c r="AZ96" s="25">
        <f t="shared" si="392"/>
        <v>1080.421</v>
      </c>
      <c r="BA96" s="25">
        <f t="shared" si="393"/>
        <v>6482.5259999999998</v>
      </c>
      <c r="BB96" s="31">
        <f t="shared" si="394"/>
        <v>11.14964722085187</v>
      </c>
      <c r="BC96" s="31">
        <f t="shared" si="395"/>
        <v>1.8582745368086451</v>
      </c>
      <c r="BD96" s="27" t="s">
        <v>52</v>
      </c>
      <c r="BE96" s="32">
        <v>1136</v>
      </c>
      <c r="BF96" s="34">
        <v>280</v>
      </c>
      <c r="BG96" s="34">
        <v>0</v>
      </c>
      <c r="BH96" s="32">
        <f t="shared" ref="BH96:BH101" si="417">IF(BG96=0,BF96*$BT96,BG96)</f>
        <v>171.01209696661695</v>
      </c>
      <c r="BI96" s="34">
        <v>233.46199999999999</v>
      </c>
      <c r="BJ96" s="34">
        <v>0</v>
      </c>
      <c r="BK96" s="32">
        <f t="shared" ref="BK96:BK101" si="418">IF(BJ96=0,BI96*$BT96,BJ96)</f>
        <v>142.58866493578688</v>
      </c>
      <c r="BL96" s="34"/>
      <c r="BM96" s="34">
        <v>0</v>
      </c>
      <c r="BN96" s="32">
        <f t="shared" si="396"/>
        <v>0</v>
      </c>
      <c r="BO96" s="34">
        <v>205.886</v>
      </c>
      <c r="BP96" s="34">
        <v>0</v>
      </c>
      <c r="BQ96" s="32">
        <f t="shared" ref="BQ96:BQ101" si="419">IF(BP96=0,BO96*$BT96,BP96)</f>
        <v>125.74641641453177</v>
      </c>
      <c r="BR96" s="34">
        <v>4881.2150000000001</v>
      </c>
      <c r="BS96" s="34">
        <v>5790.8950000000004</v>
      </c>
      <c r="BT96" s="201">
        <f t="shared" si="397"/>
        <v>0.61075748916648909</v>
      </c>
      <c r="BU96" s="35">
        <f t="shared" si="398"/>
        <v>1575.3471783169357</v>
      </c>
      <c r="BV96" s="31">
        <f t="shared" si="399"/>
        <v>15.105544622495133</v>
      </c>
      <c r="BW96" s="31">
        <f t="shared" si="400"/>
        <v>2.5175907704158549</v>
      </c>
      <c r="BX96" s="27" t="s">
        <v>53</v>
      </c>
      <c r="BY96" s="90">
        <f t="shared" si="401"/>
        <v>6254.6381783169345</v>
      </c>
      <c r="BZ96" s="38">
        <f t="shared" si="402"/>
        <v>625.46381783169352</v>
      </c>
      <c r="CA96" s="140">
        <f t="shared" si="403"/>
        <v>0.13366636480434613</v>
      </c>
      <c r="CB96" s="38">
        <f t="shared" si="404"/>
        <v>5.9973901245735597</v>
      </c>
      <c r="CC96" s="38">
        <f t="shared" si="405"/>
        <v>0.99956502076225984</v>
      </c>
      <c r="CD96" s="38">
        <f t="shared" si="406"/>
        <v>44.868356623240466</v>
      </c>
      <c r="CE96" s="38">
        <f t="shared" si="406"/>
        <v>7.4780594372067428</v>
      </c>
      <c r="CF96" s="38">
        <f t="shared" si="407"/>
        <v>26.255191843347003</v>
      </c>
      <c r="CG96" s="38">
        <f t="shared" si="408"/>
        <v>32.252581967920563</v>
      </c>
      <c r="CH96" s="38">
        <f t="shared" si="409"/>
        <v>71.123548466587465</v>
      </c>
      <c r="CI96" s="38">
        <f t="shared" si="410"/>
        <v>4.3758653072245002</v>
      </c>
      <c r="CJ96" s="38">
        <f t="shared" si="411"/>
        <v>5.3754303279867601</v>
      </c>
      <c r="CK96" s="38">
        <f t="shared" si="412"/>
        <v>11.853924744431243</v>
      </c>
      <c r="CL96" s="37">
        <v>4</v>
      </c>
      <c r="CM96" s="38">
        <f t="shared" si="413"/>
        <v>2.6255191843347001</v>
      </c>
      <c r="CN96" s="38">
        <f t="shared" si="414"/>
        <v>273.81364538814296</v>
      </c>
      <c r="CO96" s="145">
        <f t="shared" si="415"/>
        <v>5.8516054117630854E-2</v>
      </c>
      <c r="CP96" s="63">
        <v>99.801000000000002</v>
      </c>
      <c r="CQ96" s="327"/>
      <c r="CR96"/>
      <c r="CS96" s="271"/>
      <c r="CT96" s="133"/>
      <c r="CU96" s="133"/>
      <c r="CV96" s="133"/>
      <c r="CW96" s="133"/>
      <c r="CX96" s="133"/>
      <c r="CY96" s="133"/>
      <c r="CZ96" s="133"/>
      <c r="DA96" s="133"/>
      <c r="DB96" s="133"/>
      <c r="DC96" s="133"/>
      <c r="DD96" s="133"/>
      <c r="DE96" s="273"/>
      <c r="DF96" s="273"/>
      <c r="DG96" s="273"/>
      <c r="DH96" s="132"/>
      <c r="DI96" s="132"/>
      <c r="DJ96" s="132"/>
      <c r="DK96" s="132"/>
      <c r="DL96" s="132"/>
      <c r="DM96" s="132"/>
      <c r="DN96" s="132"/>
      <c r="DO96" s="132"/>
      <c r="DP96" s="132"/>
      <c r="DQ96" s="132"/>
      <c r="DR96" s="132"/>
      <c r="DS96" s="132"/>
      <c r="DT96" s="276"/>
      <c r="DU96" s="276"/>
      <c r="DV96" s="276"/>
      <c r="DW96" s="279"/>
      <c r="DX96" s="279"/>
      <c r="DY96" s="279"/>
      <c r="DZ96" s="279"/>
      <c r="EA96" s="279"/>
      <c r="EB96" s="279"/>
      <c r="EC96" s="279"/>
      <c r="ED96" s="279"/>
      <c r="EE96" s="279"/>
      <c r="EF96" s="279"/>
      <c r="EG96" s="279"/>
      <c r="EH96" s="279"/>
      <c r="EI96" s="281"/>
      <c r="EJ96" s="281"/>
      <c r="EK96" s="295"/>
      <c r="EL96" s="343">
        <v>79.48</v>
      </c>
      <c r="EM96" s="343">
        <v>4.37</v>
      </c>
      <c r="EN96" s="343">
        <v>11.83</v>
      </c>
      <c r="EO96" s="116"/>
      <c r="EP96" s="116"/>
      <c r="EQ96" s="116"/>
      <c r="ER96" s="116"/>
      <c r="ES96" s="116"/>
      <c r="ET96" s="116"/>
      <c r="EU96" s="116"/>
      <c r="EV96" s="116"/>
      <c r="EW96" s="116"/>
      <c r="EX96" s="116"/>
      <c r="EY96" s="116"/>
      <c r="EZ96" s="116"/>
    </row>
    <row r="97" spans="1:156" s="225" customFormat="1" ht="26.25" customHeight="1" x14ac:dyDescent="0.3">
      <c r="A97" s="24" t="s">
        <v>50</v>
      </c>
      <c r="B97" s="24" t="s">
        <v>51</v>
      </c>
      <c r="C97" s="1">
        <v>2011</v>
      </c>
      <c r="D97" s="25">
        <v>415.7</v>
      </c>
      <c r="E97" s="25">
        <v>37.232999999999997</v>
      </c>
      <c r="F97" s="25">
        <v>15.144</v>
      </c>
      <c r="G97" s="25">
        <f t="shared" si="0"/>
        <v>121.66033333333334</v>
      </c>
      <c r="H97" s="25">
        <f t="shared" si="1"/>
        <v>729.96199999999999</v>
      </c>
      <c r="I97" s="25">
        <f>48.1+127.4+4.6</f>
        <v>180.1</v>
      </c>
      <c r="J97" s="25">
        <f>2.882+1.242+0.025</f>
        <v>4.1490000000000009</v>
      </c>
      <c r="K97" s="25">
        <v>0.316</v>
      </c>
      <c r="L97" s="25">
        <f t="shared" si="2"/>
        <v>34.481666666666669</v>
      </c>
      <c r="M97" s="25">
        <f t="shared" si="3"/>
        <v>206.89</v>
      </c>
      <c r="N97" s="25">
        <f t="shared" si="309"/>
        <v>156.142</v>
      </c>
      <c r="O97" s="25">
        <f t="shared" si="309"/>
        <v>936.85199999999998</v>
      </c>
      <c r="P97" s="26">
        <f t="shared" si="5"/>
        <v>0.77916469196842186</v>
      </c>
      <c r="Q97" s="26">
        <f t="shared" si="306"/>
        <v>0.56948169904734769</v>
      </c>
      <c r="R97" s="26">
        <f t="shared" si="385"/>
        <v>0.30604058841419141</v>
      </c>
      <c r="S97" s="26">
        <f t="shared" si="386"/>
        <v>0.12447771253846091</v>
      </c>
      <c r="T97" s="207">
        <v>383.73899999999998</v>
      </c>
      <c r="U97" s="207">
        <v>0</v>
      </c>
      <c r="V97" s="207">
        <v>2810.8</v>
      </c>
      <c r="W97" s="25">
        <f t="shared" si="383"/>
        <v>5113.2340000000004</v>
      </c>
      <c r="X97" s="25">
        <f t="shared" si="387"/>
        <v>626.03600000000006</v>
      </c>
      <c r="Y97" s="25">
        <f t="shared" si="388"/>
        <v>852.20566666666673</v>
      </c>
      <c r="Z97" s="25">
        <f t="shared" si="389"/>
        <v>104.33933333333346</v>
      </c>
      <c r="AA97" s="204">
        <f t="shared" si="416"/>
        <v>0.13951601868248309</v>
      </c>
      <c r="AB97" s="27"/>
      <c r="AC97" s="28">
        <v>-344</v>
      </c>
      <c r="AD97" s="28">
        <v>634</v>
      </c>
      <c r="AE97" s="28">
        <v>3</v>
      </c>
      <c r="AF97" s="28">
        <v>0</v>
      </c>
      <c r="AG97" s="29">
        <f t="shared" si="17"/>
        <v>293</v>
      </c>
      <c r="AH97" s="28">
        <v>-21.187999999999999</v>
      </c>
      <c r="AI97" s="28">
        <v>202.52199999999999</v>
      </c>
      <c r="AJ97" s="28">
        <v>8.9999999999999993E-3</v>
      </c>
      <c r="AK97" s="28">
        <v>0</v>
      </c>
      <c r="AL97" s="29">
        <f t="shared" si="307"/>
        <v>181.34299999999999</v>
      </c>
      <c r="AM97" s="28">
        <v>35.999000000000002</v>
      </c>
      <c r="AN97" s="28">
        <v>65.287999999999997</v>
      </c>
      <c r="AO97" s="28">
        <v>1.7000000000000001E-2</v>
      </c>
      <c r="AP97" s="28">
        <v>0</v>
      </c>
      <c r="AQ97" s="29">
        <f t="shared" si="384"/>
        <v>101.304</v>
      </c>
      <c r="AR97" s="29">
        <f t="shared" si="9"/>
        <v>1988.8820000000001</v>
      </c>
      <c r="AS97" s="29">
        <f t="shared" si="10"/>
        <v>331.48033333333331</v>
      </c>
      <c r="AT97" s="30">
        <v>295.15999999999997</v>
      </c>
      <c r="AU97" s="30">
        <v>4.2189999999999994</v>
      </c>
      <c r="AV97" s="30">
        <v>311.36900000000003</v>
      </c>
      <c r="AW97" s="30">
        <f>5410.379-52</f>
        <v>5358.3789999999999</v>
      </c>
      <c r="AX97" s="31">
        <f t="shared" si="390"/>
        <v>5969.1270000000004</v>
      </c>
      <c r="AY97" s="25">
        <f t="shared" si="391"/>
        <v>13720.458999999999</v>
      </c>
      <c r="AZ97" s="25">
        <f t="shared" si="392"/>
        <v>1128.0936666666666</v>
      </c>
      <c r="BA97" s="25">
        <f t="shared" si="393"/>
        <v>6768.5619999999999</v>
      </c>
      <c r="BB97" s="31">
        <f t="shared" si="394"/>
        <v>12.162517533266298</v>
      </c>
      <c r="BC97" s="31">
        <f t="shared" si="395"/>
        <v>2.0270862555443827</v>
      </c>
      <c r="BD97" s="27" t="s">
        <v>52</v>
      </c>
      <c r="BE97" s="32">
        <f>421+1097</f>
        <v>1518</v>
      </c>
      <c r="BF97" s="34">
        <v>304</v>
      </c>
      <c r="BG97" s="34">
        <v>0</v>
      </c>
      <c r="BH97" s="32">
        <f t="shared" si="417"/>
        <v>181.02005336829305</v>
      </c>
      <c r="BI97" s="34">
        <v>260.22399999999999</v>
      </c>
      <c r="BJ97" s="34">
        <v>0</v>
      </c>
      <c r="BK97" s="32">
        <f t="shared" si="418"/>
        <v>154.95316568325885</v>
      </c>
      <c r="BL97" s="34"/>
      <c r="BM97" s="34">
        <v>0</v>
      </c>
      <c r="BN97" s="32">
        <f t="shared" si="396"/>
        <v>0</v>
      </c>
      <c r="BO97" s="34">
        <v>268.10399999999998</v>
      </c>
      <c r="BP97" s="34">
        <v>0</v>
      </c>
      <c r="BQ97" s="32">
        <f t="shared" si="419"/>
        <v>159.6453960139896</v>
      </c>
      <c r="BR97" s="34">
        <v>6858.1580000000004</v>
      </c>
      <c r="BS97" s="34">
        <v>8973.9500000000007</v>
      </c>
      <c r="BT97" s="201">
        <f t="shared" si="397"/>
        <v>0.59546070186938505</v>
      </c>
      <c r="BU97" s="35">
        <f t="shared" si="398"/>
        <v>2013.6186150655415</v>
      </c>
      <c r="BV97" s="31">
        <f t="shared" si="399"/>
        <v>16.551151553633268</v>
      </c>
      <c r="BW97" s="31">
        <f t="shared" si="400"/>
        <v>2.7585252589388785</v>
      </c>
      <c r="BX97" s="27" t="s">
        <v>53</v>
      </c>
      <c r="BY97" s="90">
        <f t="shared" si="401"/>
        <v>7982.7456150655416</v>
      </c>
      <c r="BZ97" s="38">
        <f t="shared" si="402"/>
        <v>798.27456150655416</v>
      </c>
      <c r="CA97" s="140">
        <f t="shared" si="403"/>
        <v>0.13373388797165048</v>
      </c>
      <c r="CB97" s="38">
        <f t="shared" si="404"/>
        <v>6.5615023371618308</v>
      </c>
      <c r="CC97" s="38">
        <f t="shared" si="405"/>
        <v>1.0935837228603054</v>
      </c>
      <c r="CD97" s="38">
        <f t="shared" si="406"/>
        <v>49.063871817985046</v>
      </c>
      <c r="CE97" s="38">
        <f t="shared" si="406"/>
        <v>8.1773119696641743</v>
      </c>
      <c r="CF97" s="38">
        <f t="shared" si="407"/>
        <v>28.713669086899564</v>
      </c>
      <c r="CG97" s="38">
        <f t="shared" si="408"/>
        <v>35.275171424061398</v>
      </c>
      <c r="CH97" s="38">
        <f t="shared" si="409"/>
        <v>77.777540904884603</v>
      </c>
      <c r="CI97" s="38">
        <f t="shared" si="410"/>
        <v>4.7856115144832607</v>
      </c>
      <c r="CJ97" s="38">
        <f t="shared" si="411"/>
        <v>5.8791952373435663</v>
      </c>
      <c r="CK97" s="38">
        <f t="shared" si="412"/>
        <v>12.962923484147435</v>
      </c>
      <c r="CL97" s="37">
        <v>4</v>
      </c>
      <c r="CM97" s="38">
        <f t="shared" si="413"/>
        <v>2.8713669086899563</v>
      </c>
      <c r="CN97" s="38">
        <f t="shared" si="414"/>
        <v>349.331455233523</v>
      </c>
      <c r="CO97" s="145">
        <f t="shared" si="415"/>
        <v>5.8523039505362001E-2</v>
      </c>
      <c r="CP97" s="63">
        <v>61.110999999999997</v>
      </c>
      <c r="CQ97" s="327"/>
      <c r="CR97"/>
      <c r="CS97" s="271"/>
      <c r="CT97" s="133"/>
      <c r="CU97" s="133"/>
      <c r="CV97" s="133"/>
      <c r="CW97" s="133"/>
      <c r="CX97" s="133"/>
      <c r="CY97" s="133"/>
      <c r="CZ97" s="133"/>
      <c r="DA97" s="133"/>
      <c r="DB97" s="133"/>
      <c r="DC97" s="133"/>
      <c r="DD97" s="133"/>
      <c r="DE97" s="273"/>
      <c r="DF97" s="273"/>
      <c r="DG97" s="273"/>
      <c r="DH97" s="132"/>
      <c r="DI97" s="132"/>
      <c r="DJ97" s="132"/>
      <c r="DK97" s="132"/>
      <c r="DL97" s="132"/>
      <c r="DM97" s="132"/>
      <c r="DN97" s="132"/>
      <c r="DO97" s="132"/>
      <c r="DP97" s="132"/>
      <c r="DQ97" s="132"/>
      <c r="DR97" s="132"/>
      <c r="DS97" s="132"/>
      <c r="DT97" s="276"/>
      <c r="DU97" s="276"/>
      <c r="DV97" s="276"/>
      <c r="DW97" s="279"/>
      <c r="DX97" s="279"/>
      <c r="DY97" s="279"/>
      <c r="DZ97" s="279"/>
      <c r="EA97" s="279"/>
      <c r="EB97" s="279"/>
      <c r="EC97" s="279"/>
      <c r="ED97" s="279"/>
      <c r="EE97" s="279"/>
      <c r="EF97" s="279"/>
      <c r="EG97" s="279"/>
      <c r="EH97" s="279"/>
      <c r="EI97" s="281"/>
      <c r="EJ97" s="281"/>
      <c r="EK97" s="295"/>
      <c r="EL97" s="343">
        <v>94.88</v>
      </c>
      <c r="EM97" s="343">
        <v>4</v>
      </c>
      <c r="EN97" s="343">
        <v>15.12</v>
      </c>
      <c r="EO97" s="116"/>
      <c r="EP97" s="116"/>
      <c r="EQ97" s="116"/>
      <c r="ER97" s="116"/>
      <c r="ES97" s="116"/>
      <c r="ET97" s="116"/>
      <c r="EU97" s="116"/>
      <c r="EV97" s="116"/>
      <c r="EW97" s="116"/>
      <c r="EX97" s="116"/>
      <c r="EY97" s="116"/>
      <c r="EZ97" s="116"/>
    </row>
    <row r="98" spans="1:156" s="225" customFormat="1" ht="26.25" customHeight="1" x14ac:dyDescent="0.3">
      <c r="A98" s="39" t="s">
        <v>50</v>
      </c>
      <c r="B98" s="39" t="s">
        <v>51</v>
      </c>
      <c r="C98" s="22">
        <v>2012</v>
      </c>
      <c r="D98" s="25">
        <v>380.2</v>
      </c>
      <c r="E98" s="25">
        <v>54.631999999999998</v>
      </c>
      <c r="F98" s="25">
        <v>20.181000000000001</v>
      </c>
      <c r="G98" s="25">
        <f t="shared" si="0"/>
        <v>138.17966666666666</v>
      </c>
      <c r="H98" s="25">
        <f t="shared" si="1"/>
        <v>829.07799999999997</v>
      </c>
      <c r="I98" s="25">
        <f>34.6+138.4+3.4</f>
        <v>176.4</v>
      </c>
      <c r="J98" s="25">
        <f>2.574+0.55+0.039</f>
        <v>3.1629999999999998</v>
      </c>
      <c r="K98" s="25">
        <v>0.309</v>
      </c>
      <c r="L98" s="25">
        <f t="shared" si="2"/>
        <v>32.872</v>
      </c>
      <c r="M98" s="25">
        <f t="shared" si="3"/>
        <v>197.23200000000003</v>
      </c>
      <c r="N98" s="25">
        <f t="shared" si="309"/>
        <v>171.05166666666668</v>
      </c>
      <c r="O98" s="25">
        <f t="shared" si="309"/>
        <v>1026.31</v>
      </c>
      <c r="P98" s="26">
        <f t="shared" si="5"/>
        <v>0.80782414670031477</v>
      </c>
      <c r="Q98" s="26">
        <f t="shared" si="306"/>
        <v>0.45858170160105566</v>
      </c>
      <c r="R98" s="26">
        <f t="shared" si="385"/>
        <v>0.39536931386431673</v>
      </c>
      <c r="S98" s="26">
        <f t="shared" si="386"/>
        <v>0.14604898453462764</v>
      </c>
      <c r="T98" s="207">
        <v>389.86200000000002</v>
      </c>
      <c r="U98" s="207">
        <v>156.92400000000001</v>
      </c>
      <c r="V98" s="207">
        <v>1648.5</v>
      </c>
      <c r="W98" s="25">
        <f t="shared" si="383"/>
        <v>4929.2160000000003</v>
      </c>
      <c r="X98" s="25">
        <f t="shared" si="387"/>
        <v>-184.01800000000003</v>
      </c>
      <c r="Y98" s="25">
        <f t="shared" si="388"/>
        <v>821.53600000000006</v>
      </c>
      <c r="Z98" s="25">
        <f t="shared" si="389"/>
        <v>-30.669666666666672</v>
      </c>
      <c r="AA98" s="204">
        <f t="shared" si="416"/>
        <v>-3.5988573963170865E-2</v>
      </c>
      <c r="AB98" s="27"/>
      <c r="AC98" s="28">
        <v>-1736</v>
      </c>
      <c r="AD98" s="28">
        <v>477.8</v>
      </c>
      <c r="AE98" s="28">
        <v>14.8</v>
      </c>
      <c r="AF98" s="28">
        <v>0</v>
      </c>
      <c r="AG98" s="29">
        <f t="shared" si="17"/>
        <v>-1243.4000000000001</v>
      </c>
      <c r="AH98" s="28">
        <v>4.1050000000000004</v>
      </c>
      <c r="AI98" s="28">
        <v>241.17099999999999</v>
      </c>
      <c r="AJ98" s="28">
        <v>1.01</v>
      </c>
      <c r="AK98" s="28">
        <v>0</v>
      </c>
      <c r="AL98" s="29">
        <f t="shared" si="307"/>
        <v>246.28599999999997</v>
      </c>
      <c r="AM98" s="28">
        <v>47.292999999999999</v>
      </c>
      <c r="AN98" s="28">
        <v>71.396000000000001</v>
      </c>
      <c r="AO98" s="28">
        <v>0.61199999999999999</v>
      </c>
      <c r="AP98" s="28">
        <v>0</v>
      </c>
      <c r="AQ98" s="29">
        <f t="shared" si="384"/>
        <v>119.30099999999999</v>
      </c>
      <c r="AR98" s="29">
        <f t="shared" si="9"/>
        <v>950.12199999999973</v>
      </c>
      <c r="AS98" s="29">
        <f t="shared" si="10"/>
        <v>158.35366666666661</v>
      </c>
      <c r="AT98" s="30">
        <v>471.34500000000003</v>
      </c>
      <c r="AU98" s="30">
        <v>0.73899999999999999</v>
      </c>
      <c r="AV98" s="30">
        <v>333.53399999999999</v>
      </c>
      <c r="AW98" s="30">
        <f>5657.378-80</f>
        <v>5577.3779999999997</v>
      </c>
      <c r="AX98" s="31">
        <f t="shared" si="390"/>
        <v>6382.9959999999992</v>
      </c>
      <c r="AY98" s="25">
        <f t="shared" si="391"/>
        <v>17031.413999999997</v>
      </c>
      <c r="AZ98" s="25">
        <f t="shared" si="392"/>
        <v>850.49066666666658</v>
      </c>
      <c r="BA98" s="25">
        <f t="shared" si="393"/>
        <v>5102.9439999999995</v>
      </c>
      <c r="BB98" s="31">
        <f t="shared" si="394"/>
        <v>20.025397887964278</v>
      </c>
      <c r="BC98" s="31">
        <f t="shared" si="395"/>
        <v>3.3375663146607133</v>
      </c>
      <c r="BD98" s="27" t="s">
        <v>52</v>
      </c>
      <c r="BE98" s="40">
        <f>591.547+1264.633</f>
        <v>1856.18</v>
      </c>
      <c r="BF98" s="34">
        <v>331.54500000000002</v>
      </c>
      <c r="BG98" s="34">
        <v>0</v>
      </c>
      <c r="BH98" s="32">
        <f t="shared" si="417"/>
        <v>192.8067660775759</v>
      </c>
      <c r="BI98" s="34">
        <v>360.00599999999997</v>
      </c>
      <c r="BJ98" s="34">
        <v>0</v>
      </c>
      <c r="BK98" s="32">
        <f t="shared" si="418"/>
        <v>209.3579834668711</v>
      </c>
      <c r="BL98" s="34"/>
      <c r="BM98" s="34">
        <v>0</v>
      </c>
      <c r="BN98" s="32">
        <f t="shared" si="396"/>
        <v>0</v>
      </c>
      <c r="BO98" s="34">
        <v>263.25400000000002</v>
      </c>
      <c r="BP98" s="34">
        <v>0</v>
      </c>
      <c r="BQ98" s="32">
        <f t="shared" si="419"/>
        <v>153.09280006329809</v>
      </c>
      <c r="BR98" s="34">
        <v>7958.3759999999993</v>
      </c>
      <c r="BS98" s="34">
        <v>11055.07</v>
      </c>
      <c r="BT98" s="201">
        <f t="shared" si="397"/>
        <v>0.5815402617369464</v>
      </c>
      <c r="BU98" s="35">
        <f t="shared" si="398"/>
        <v>2411.437549607745</v>
      </c>
      <c r="BV98" s="31">
        <f t="shared" si="399"/>
        <v>17.451464515578113</v>
      </c>
      <c r="BW98" s="31">
        <f t="shared" si="400"/>
        <v>2.9085774192630187</v>
      </c>
      <c r="BX98" s="27" t="s">
        <v>53</v>
      </c>
      <c r="BY98" s="90">
        <f t="shared" si="401"/>
        <v>8794.4335496077438</v>
      </c>
      <c r="BZ98" s="38">
        <f t="shared" si="402"/>
        <v>879.4433549607744</v>
      </c>
      <c r="CA98" s="140">
        <f t="shared" si="403"/>
        <v>0.13777908602179517</v>
      </c>
      <c r="CB98" s="38">
        <f t="shared" si="404"/>
        <v>6.3644917966278767</v>
      </c>
      <c r="CC98" s="38">
        <f t="shared" si="405"/>
        <v>1.0607486327713127</v>
      </c>
      <c r="CD98" s="38">
        <f t="shared" si="406"/>
        <v>46.193453450700652</v>
      </c>
      <c r="CE98" s="38">
        <f t="shared" si="406"/>
        <v>7.6989089084501092</v>
      </c>
      <c r="CF98" s="38">
        <f t="shared" si="407"/>
        <v>37.476862403542391</v>
      </c>
      <c r="CG98" s="38">
        <f t="shared" si="408"/>
        <v>43.841354200170265</v>
      </c>
      <c r="CH98" s="38">
        <f t="shared" si="409"/>
        <v>83.670315854243043</v>
      </c>
      <c r="CI98" s="38">
        <f t="shared" si="410"/>
        <v>6.2461437339237325</v>
      </c>
      <c r="CJ98" s="38">
        <f t="shared" si="411"/>
        <v>7.3068923666950454</v>
      </c>
      <c r="CK98" s="38">
        <f t="shared" si="412"/>
        <v>13.945052642373842</v>
      </c>
      <c r="CL98" s="37">
        <v>4</v>
      </c>
      <c r="CM98" s="38">
        <f t="shared" si="413"/>
        <v>3.747686240354239</v>
      </c>
      <c r="CN98" s="38">
        <f t="shared" si="414"/>
        <v>517.85403546340194</v>
      </c>
      <c r="CO98" s="145">
        <f t="shared" si="415"/>
        <v>8.1130245963400571E-2</v>
      </c>
      <c r="CP98" s="63">
        <v>49.116</v>
      </c>
      <c r="CQ98" s="327"/>
      <c r="CR98"/>
      <c r="CS98" s="270">
        <f>+CT98*CU98</f>
        <v>238.39245</v>
      </c>
      <c r="CT98" s="269">
        <f>1.062*91.25</f>
        <v>96.907499999999999</v>
      </c>
      <c r="CU98" s="133">
        <v>2.46</v>
      </c>
      <c r="CV98" s="269">
        <f>+CW98*CX98</f>
        <v>204.062375</v>
      </c>
      <c r="CW98" s="269">
        <f>1.07*91.25</f>
        <v>97.637500000000003</v>
      </c>
      <c r="CX98" s="133">
        <v>2.09</v>
      </c>
      <c r="CY98" s="269">
        <f>+CZ98*DA98</f>
        <v>243.402075</v>
      </c>
      <c r="CZ98" s="269">
        <f>1.022*91.25</f>
        <v>93.257500000000007</v>
      </c>
      <c r="DA98" s="133">
        <v>2.61</v>
      </c>
      <c r="DB98" s="269">
        <f t="shared" ref="DB98:DC102" si="420">+DE98-CS98-CV98-CY98</f>
        <v>265.60609999999997</v>
      </c>
      <c r="DC98" s="269">
        <f t="shared" si="420"/>
        <v>89.607500000000059</v>
      </c>
      <c r="DD98" s="133">
        <f>+DB98/DC98</f>
        <v>2.9641056831180403</v>
      </c>
      <c r="DE98" s="274">
        <v>951.46299999999997</v>
      </c>
      <c r="DF98" s="274">
        <f>1.034*365</f>
        <v>377.41</v>
      </c>
      <c r="DG98" s="273">
        <v>2.5099999999999998</v>
      </c>
      <c r="DH98" s="272">
        <f>+DI98*DJ98</f>
        <v>1217.0112875000002</v>
      </c>
      <c r="DI98" s="272">
        <f>0.131*91.25</f>
        <v>11.953750000000001</v>
      </c>
      <c r="DJ98" s="296">
        <v>101.81</v>
      </c>
      <c r="DK98" s="272">
        <f>+DL98*DM98</f>
        <v>1315.6333749999999</v>
      </c>
      <c r="DL98" s="272">
        <f>0.1505*91.25</f>
        <v>13.733124999999999</v>
      </c>
      <c r="DM98" s="296">
        <v>95.8</v>
      </c>
      <c r="DN98" s="272">
        <f>+DO98*DP98</f>
        <v>1437.1265449999999</v>
      </c>
      <c r="DO98" s="272">
        <f>0.1613*91.25</f>
        <v>14.718624999999999</v>
      </c>
      <c r="DP98" s="296">
        <v>97.64</v>
      </c>
      <c r="DQ98" s="272">
        <f t="shared" ref="DQ98:DR102" si="421">+DT98-DN98-DK98-DH98</f>
        <v>1391.3977024999992</v>
      </c>
      <c r="DR98" s="272">
        <f t="shared" si="421"/>
        <v>14.088999999999997</v>
      </c>
      <c r="DS98" s="296">
        <f>+DQ98/DR98</f>
        <v>98.757733160621726</v>
      </c>
      <c r="DT98" s="277">
        <f>+DU98*DV98</f>
        <v>5361.1689099999994</v>
      </c>
      <c r="DU98" s="277">
        <f>0.1493*365</f>
        <v>54.494499999999995</v>
      </c>
      <c r="DV98" s="297">
        <v>98.38</v>
      </c>
      <c r="DW98" s="99">
        <f>+DX98*DY98</f>
        <v>195.02378875000002</v>
      </c>
      <c r="DX98" s="99">
        <f>0.0503*91.25</f>
        <v>4.5898750000000001</v>
      </c>
      <c r="DY98" s="298">
        <v>42.49</v>
      </c>
      <c r="DZ98" s="99">
        <f>+EA98*EB98</f>
        <v>167.10466500000001</v>
      </c>
      <c r="EA98" s="99">
        <f>0.0546*91.25</f>
        <v>4.9822500000000005</v>
      </c>
      <c r="EB98" s="298">
        <v>33.54</v>
      </c>
      <c r="EC98" s="99">
        <f>+ED98*EE98</f>
        <v>164.08529374999998</v>
      </c>
      <c r="ED98" s="99">
        <f>0.0581*91.25</f>
        <v>5.3016249999999996</v>
      </c>
      <c r="EE98" s="298">
        <v>30.95</v>
      </c>
      <c r="EF98" s="99">
        <f t="shared" ref="EF98:EG102" si="422">+EI98-EC98-DZ98-DW98</f>
        <v>185.9344674999999</v>
      </c>
      <c r="EG98" s="99">
        <f t="shared" si="422"/>
        <v>5.2377499999999992</v>
      </c>
      <c r="EH98" s="298">
        <f>+EF98/EG98</f>
        <v>35.498919860627161</v>
      </c>
      <c r="EI98" s="282">
        <f>+EJ98*EK98</f>
        <v>712.14821499999994</v>
      </c>
      <c r="EJ98" s="282">
        <f>0.0551*365</f>
        <v>20.111499999999999</v>
      </c>
      <c r="EK98" s="299">
        <v>35.409999999999997</v>
      </c>
      <c r="EL98" s="344">
        <v>94.05</v>
      </c>
      <c r="EM98" s="344">
        <v>2.75</v>
      </c>
      <c r="EN98" s="344">
        <v>10.98</v>
      </c>
      <c r="EO98" s="74">
        <v>2.41</v>
      </c>
      <c r="EP98" s="74">
        <v>2.2799999999999998</v>
      </c>
      <c r="EQ98" s="74">
        <v>2.88</v>
      </c>
      <c r="ER98" s="74">
        <v>3.4</v>
      </c>
      <c r="ES98" s="74">
        <v>13.14</v>
      </c>
      <c r="ET98" s="74">
        <v>10.75</v>
      </c>
      <c r="EU98" s="74">
        <v>9.9600000000000009</v>
      </c>
      <c r="EV98" s="74">
        <v>10.08</v>
      </c>
      <c r="EW98" s="74">
        <v>102.98</v>
      </c>
      <c r="EX98" s="74">
        <v>93.29</v>
      </c>
      <c r="EY98" s="74">
        <v>92.17</v>
      </c>
      <c r="EZ98" s="74">
        <v>88.01</v>
      </c>
    </row>
    <row r="99" spans="1:156" s="225" customFormat="1" ht="26.25" customHeight="1" x14ac:dyDescent="0.3">
      <c r="A99" s="43" t="s">
        <v>50</v>
      </c>
      <c r="B99" s="43" t="s">
        <v>51</v>
      </c>
      <c r="C99" s="53">
        <v>2013</v>
      </c>
      <c r="D99" s="52">
        <v>342.3</v>
      </c>
      <c r="E99" s="52">
        <v>77.430999999999997</v>
      </c>
      <c r="F99" s="52">
        <v>23.478999999999999</v>
      </c>
      <c r="G99" s="52">
        <f t="shared" si="0"/>
        <v>157.95999999999998</v>
      </c>
      <c r="H99" s="52">
        <f t="shared" si="1"/>
        <v>947.76</v>
      </c>
      <c r="I99" s="52">
        <f>27.7+129.6+2.8</f>
        <v>160.1</v>
      </c>
      <c r="J99" s="52">
        <f>2.55+0.447+0.033</f>
        <v>3.03</v>
      </c>
      <c r="K99" s="52">
        <v>0.315</v>
      </c>
      <c r="L99" s="52">
        <f t="shared" si="2"/>
        <v>30.028333333333336</v>
      </c>
      <c r="M99" s="52">
        <f t="shared" si="3"/>
        <v>180.17</v>
      </c>
      <c r="N99" s="52">
        <f t="shared" si="309"/>
        <v>187.98833333333332</v>
      </c>
      <c r="O99" s="52">
        <f t="shared" si="309"/>
        <v>1127.93</v>
      </c>
      <c r="P99" s="54">
        <f t="shared" si="5"/>
        <v>0.84026491005647508</v>
      </c>
      <c r="Q99" s="54">
        <f t="shared" si="306"/>
        <v>0.36116738414788557</v>
      </c>
      <c r="R99" s="54">
        <f t="shared" si="385"/>
        <v>0.49019371992909599</v>
      </c>
      <c r="S99" s="54">
        <f t="shared" si="386"/>
        <v>0.14863889592301849</v>
      </c>
      <c r="T99" s="208">
        <v>497.53199999999998</v>
      </c>
      <c r="U99" s="208">
        <v>176.03800000000001</v>
      </c>
      <c r="V99" s="208">
        <v>1801.4</v>
      </c>
      <c r="W99" s="52">
        <f t="shared" si="383"/>
        <v>5842.82</v>
      </c>
      <c r="X99" s="52">
        <f t="shared" si="387"/>
        <v>913.60399999999936</v>
      </c>
      <c r="Y99" s="52">
        <f t="shared" si="388"/>
        <v>973.80333333333328</v>
      </c>
      <c r="Z99" s="52">
        <f t="shared" si="389"/>
        <v>152.26733333333323</v>
      </c>
      <c r="AA99" s="205">
        <f t="shared" si="416"/>
        <v>0.18534468767446979</v>
      </c>
      <c r="AB99" s="44"/>
      <c r="AC99" s="45">
        <v>264</v>
      </c>
      <c r="AD99" s="45">
        <v>504.7</v>
      </c>
      <c r="AE99" s="45">
        <v>5.7</v>
      </c>
      <c r="AF99" s="45">
        <v>0</v>
      </c>
      <c r="AG99" s="55">
        <f t="shared" si="17"/>
        <v>774.40000000000009</v>
      </c>
      <c r="AH99" s="45">
        <v>57.667999999999999</v>
      </c>
      <c r="AI99" s="45">
        <v>230.023</v>
      </c>
      <c r="AJ99" s="45">
        <v>1.097</v>
      </c>
      <c r="AK99" s="45">
        <v>0</v>
      </c>
      <c r="AL99" s="55">
        <f t="shared" si="307"/>
        <v>288.78799999999995</v>
      </c>
      <c r="AM99" s="45">
        <v>12.157</v>
      </c>
      <c r="AN99" s="45">
        <v>69.186999999999998</v>
      </c>
      <c r="AO99" s="45">
        <v>1.202</v>
      </c>
      <c r="AP99" s="45">
        <v>0</v>
      </c>
      <c r="AQ99" s="55">
        <f t="shared" si="384"/>
        <v>82.545999999999992</v>
      </c>
      <c r="AR99" s="55">
        <f t="shared" si="9"/>
        <v>3002.4039999999995</v>
      </c>
      <c r="AS99" s="55">
        <f t="shared" si="10"/>
        <v>500.40066666666661</v>
      </c>
      <c r="AT99" s="46">
        <v>411.55599999999998</v>
      </c>
      <c r="AU99" s="46">
        <v>120.22</v>
      </c>
      <c r="AV99" s="46">
        <v>273.78799999999995</v>
      </c>
      <c r="AW99" s="46">
        <f>5573.26-84</f>
        <v>5489.26</v>
      </c>
      <c r="AX99" s="50">
        <f t="shared" si="390"/>
        <v>6294.8240000000005</v>
      </c>
      <c r="AY99" s="52">
        <f t="shared" si="391"/>
        <v>18646.947</v>
      </c>
      <c r="AZ99" s="52">
        <f t="shared" si="392"/>
        <v>990.2346666666665</v>
      </c>
      <c r="BA99" s="52">
        <f t="shared" si="393"/>
        <v>5941.4079999999994</v>
      </c>
      <c r="BB99" s="50">
        <f t="shared" si="394"/>
        <v>18.83083639433616</v>
      </c>
      <c r="BC99" s="50">
        <f t="shared" si="395"/>
        <v>3.13847273238936</v>
      </c>
      <c r="BD99" s="44" t="s">
        <v>52</v>
      </c>
      <c r="BE99" s="47">
        <f>841.567+1494.791</f>
        <v>2336.3580000000002</v>
      </c>
      <c r="BF99" s="48">
        <f>348.312</f>
        <v>348.31200000000001</v>
      </c>
      <c r="BG99" s="48">
        <v>0</v>
      </c>
      <c r="BH99" s="47">
        <f t="shared" si="417"/>
        <v>218.61347066438097</v>
      </c>
      <c r="BI99" s="48">
        <v>294.73899999999998</v>
      </c>
      <c r="BJ99" s="48">
        <v>0</v>
      </c>
      <c r="BK99" s="47">
        <f t="shared" si="418"/>
        <v>184.98907798223712</v>
      </c>
      <c r="BL99" s="48"/>
      <c r="BM99" s="34">
        <v>0</v>
      </c>
      <c r="BN99" s="47">
        <f t="shared" si="396"/>
        <v>0</v>
      </c>
      <c r="BO99" s="48">
        <v>284.59899999999999</v>
      </c>
      <c r="BP99" s="48">
        <v>0</v>
      </c>
      <c r="BQ99" s="47">
        <f t="shared" si="419"/>
        <v>178.62483961968624</v>
      </c>
      <c r="BR99" s="48">
        <v>10755.646000000001</v>
      </c>
      <c r="BS99" s="48">
        <v>14399.395</v>
      </c>
      <c r="BT99" s="202">
        <f t="shared" si="397"/>
        <v>0.62763691938371624</v>
      </c>
      <c r="BU99" s="49">
        <f t="shared" si="398"/>
        <v>2918.5853882663046</v>
      </c>
      <c r="BV99" s="50">
        <f t="shared" si="399"/>
        <v>18.476737074362529</v>
      </c>
      <c r="BW99" s="50">
        <f t="shared" si="400"/>
        <v>3.0794561790604211</v>
      </c>
      <c r="BX99" s="44" t="s">
        <v>53</v>
      </c>
      <c r="BY99" s="91">
        <f t="shared" si="401"/>
        <v>9213.4093882663055</v>
      </c>
      <c r="BZ99" s="56">
        <f t="shared" si="402"/>
        <v>921.34093882663058</v>
      </c>
      <c r="CA99" s="141">
        <f t="shared" si="403"/>
        <v>0.14636484496256455</v>
      </c>
      <c r="CB99" s="56">
        <f t="shared" si="404"/>
        <v>5.8327484098925719</v>
      </c>
      <c r="CC99" s="56">
        <f t="shared" si="405"/>
        <v>0.97212473498209528</v>
      </c>
      <c r="CD99" s="56">
        <f t="shared" si="406"/>
        <v>39.850747024563191</v>
      </c>
      <c r="CE99" s="56">
        <f t="shared" si="406"/>
        <v>6.6417911707605306</v>
      </c>
      <c r="CF99" s="56">
        <f t="shared" si="407"/>
        <v>37.307573468698692</v>
      </c>
      <c r="CG99" s="56">
        <f t="shared" si="408"/>
        <v>43.140321878591266</v>
      </c>
      <c r="CH99" s="56">
        <f t="shared" si="409"/>
        <v>77.158320493261883</v>
      </c>
      <c r="CI99" s="56">
        <f t="shared" si="410"/>
        <v>6.2179289114497811</v>
      </c>
      <c r="CJ99" s="38">
        <f t="shared" si="411"/>
        <v>7.1900536464318767</v>
      </c>
      <c r="CK99" s="56">
        <f t="shared" si="412"/>
        <v>12.859720082210313</v>
      </c>
      <c r="CL99" s="51">
        <v>4</v>
      </c>
      <c r="CM99" s="56">
        <f t="shared" si="413"/>
        <v>3.7307573468698694</v>
      </c>
      <c r="CN99" s="56">
        <f t="shared" si="414"/>
        <v>589.3104305115645</v>
      </c>
      <c r="CO99" s="145">
        <f t="shared" si="415"/>
        <v>9.3618253744912394E-2</v>
      </c>
      <c r="CP99" s="63">
        <v>9.2110000000000003</v>
      </c>
      <c r="CQ99" s="327"/>
      <c r="CR99"/>
      <c r="CS99" s="270">
        <f>+CT99*CU99</f>
        <v>262.50070000000005</v>
      </c>
      <c r="CT99" s="269">
        <f>0.934*91.25</f>
        <v>85.227500000000006</v>
      </c>
      <c r="CU99" s="133">
        <v>3.08</v>
      </c>
      <c r="CV99" s="269">
        <f>+CW99*CX99</f>
        <v>315.85640000000001</v>
      </c>
      <c r="CW99" s="269">
        <f>0.928*365/4</f>
        <v>84.68</v>
      </c>
      <c r="CX99" s="133">
        <v>3.73</v>
      </c>
      <c r="CY99" s="269">
        <f>+CZ99*DA99</f>
        <v>261.68766249999999</v>
      </c>
      <c r="CZ99" s="269">
        <f>0.899*365/4</f>
        <v>82.033749999999998</v>
      </c>
      <c r="DA99" s="133">
        <v>3.19</v>
      </c>
      <c r="DB99" s="269">
        <f t="shared" si="420"/>
        <v>260.76323749999995</v>
      </c>
      <c r="DC99" s="269">
        <f t="shared" si="420"/>
        <v>79.478749999999991</v>
      </c>
      <c r="DD99" s="133">
        <f>+DB99/DC99</f>
        <v>3.2809176981268573</v>
      </c>
      <c r="DE99" s="274">
        <v>1100.808</v>
      </c>
      <c r="DF99" s="274">
        <f>0.908*365</f>
        <v>331.42</v>
      </c>
      <c r="DG99" s="273">
        <v>3.32</v>
      </c>
      <c r="DH99" s="272">
        <f>+DI99*DJ99</f>
        <v>1733.8805787499998</v>
      </c>
      <c r="DI99" s="272">
        <f>0.1783*91.25</f>
        <v>16.269874999999999</v>
      </c>
      <c r="DJ99" s="296">
        <v>106.57</v>
      </c>
      <c r="DK99" s="272">
        <f>+DL99*DM99</f>
        <v>1954.5973562500001</v>
      </c>
      <c r="DL99" s="272">
        <f>0.2065*91.25</f>
        <v>18.843125000000001</v>
      </c>
      <c r="DM99" s="296">
        <v>103.73</v>
      </c>
      <c r="DN99" s="272">
        <f>+DO99*DP99</f>
        <v>2254.6283600000002</v>
      </c>
      <c r="DO99" s="272">
        <f>0.2276*91.25</f>
        <v>20.7685</v>
      </c>
      <c r="DP99" s="296">
        <v>108.56</v>
      </c>
      <c r="DQ99" s="272">
        <f t="shared" si="421"/>
        <v>2093.5005699999992</v>
      </c>
      <c r="DR99" s="272">
        <f t="shared" si="421"/>
        <v>21.534999999999997</v>
      </c>
      <c r="DS99" s="296">
        <f>+DQ99/DR99</f>
        <v>97.213864406779635</v>
      </c>
      <c r="DT99" s="277">
        <f>+DU99*DV99</f>
        <v>8036.6068649999997</v>
      </c>
      <c r="DU99" s="277">
        <f>0.2121*365</f>
        <v>77.416499999999999</v>
      </c>
      <c r="DV99" s="297">
        <v>103.81</v>
      </c>
      <c r="DW99" s="99">
        <f>+DX99*DY99</f>
        <v>169.13351749999998</v>
      </c>
      <c r="DX99" s="99">
        <f>0.0586*91.25</f>
        <v>5.3472499999999998</v>
      </c>
      <c r="DY99" s="298">
        <v>31.63</v>
      </c>
      <c r="DZ99" s="99">
        <f>+EA99*EB99</f>
        <v>175.48314875000003</v>
      </c>
      <c r="EA99" s="99">
        <f>0.0637*91.25</f>
        <v>5.8126250000000006</v>
      </c>
      <c r="EB99" s="298">
        <v>30.19</v>
      </c>
      <c r="EC99" s="99">
        <f>+ED99*EE99</f>
        <v>203.81143749999998</v>
      </c>
      <c r="ED99" s="99">
        <f>0.0682*91.25</f>
        <v>6.2232499999999993</v>
      </c>
      <c r="EE99" s="298">
        <v>32.75</v>
      </c>
      <c r="EF99" s="99">
        <f t="shared" si="422"/>
        <v>213.39186624999996</v>
      </c>
      <c r="EG99" s="99">
        <f t="shared" si="422"/>
        <v>6.0863749999999994</v>
      </c>
      <c r="EH99" s="298">
        <f>+EF99/EG99</f>
        <v>35.060584707646171</v>
      </c>
      <c r="EI99" s="282">
        <f>+EJ99*EK99</f>
        <v>761.81997000000001</v>
      </c>
      <c r="EJ99" s="282">
        <f>0.0643*365</f>
        <v>23.4695</v>
      </c>
      <c r="EK99" s="299">
        <v>32.46</v>
      </c>
      <c r="EL99" s="344">
        <v>97.98</v>
      </c>
      <c r="EM99" s="344">
        <v>3.73</v>
      </c>
      <c r="EN99" s="344">
        <v>9.94</v>
      </c>
      <c r="EO99" s="74">
        <v>3.49</v>
      </c>
      <c r="EP99" s="74">
        <v>4.01</v>
      </c>
      <c r="EQ99" s="74">
        <v>3.56</v>
      </c>
      <c r="ER99" s="74">
        <v>3.85</v>
      </c>
      <c r="ES99" s="74">
        <v>9.77</v>
      </c>
      <c r="ET99" s="74">
        <v>9.39</v>
      </c>
      <c r="EU99" s="74">
        <v>10.01</v>
      </c>
      <c r="EV99" s="74">
        <v>10.53</v>
      </c>
      <c r="EW99" s="74">
        <v>94.33</v>
      </c>
      <c r="EX99" s="74">
        <v>94.05</v>
      </c>
      <c r="EY99" s="74">
        <v>105.83</v>
      </c>
      <c r="EZ99" s="74">
        <v>97.44</v>
      </c>
    </row>
    <row r="100" spans="1:156" s="225" customFormat="1" ht="26.25" customHeight="1" x14ac:dyDescent="0.3">
      <c r="A100" s="43" t="s">
        <v>50</v>
      </c>
      <c r="B100" s="43" t="s">
        <v>51</v>
      </c>
      <c r="C100" s="53">
        <v>2014</v>
      </c>
      <c r="D100" s="52">
        <v>348.4</v>
      </c>
      <c r="E100" s="52">
        <v>102.946</v>
      </c>
      <c r="F100" s="52">
        <v>29.061</v>
      </c>
      <c r="G100" s="52">
        <f t="shared" si="0"/>
        <v>190.07366666666667</v>
      </c>
      <c r="H100" s="52">
        <f t="shared" si="1"/>
        <v>1140.442</v>
      </c>
      <c r="I100" s="52">
        <f>506.3-D100</f>
        <v>157.90000000000003</v>
      </c>
      <c r="J100" s="52">
        <f>105.448-E100</f>
        <v>2.5019999999999953</v>
      </c>
      <c r="K100" s="52">
        <v>0.23599999999999999</v>
      </c>
      <c r="L100" s="52">
        <f t="shared" si="2"/>
        <v>29.05466666666667</v>
      </c>
      <c r="M100" s="52">
        <f t="shared" si="3"/>
        <v>174.328</v>
      </c>
      <c r="N100" s="52">
        <f>G100+L100</f>
        <v>219.12833333333333</v>
      </c>
      <c r="O100" s="52">
        <f t="shared" si="309"/>
        <v>1314.77</v>
      </c>
      <c r="P100" s="54">
        <f t="shared" si="5"/>
        <v>0.86740798770887684</v>
      </c>
      <c r="Q100" s="54">
        <f t="shared" si="306"/>
        <v>0.30549558855250858</v>
      </c>
      <c r="R100" s="54">
        <f t="shared" si="385"/>
        <v>0.5416110595716398</v>
      </c>
      <c r="S100" s="54">
        <f t="shared" si="386"/>
        <v>0.15289335187585165</v>
      </c>
      <c r="T100" s="208">
        <v>635.98800000000006</v>
      </c>
      <c r="U100" s="208">
        <v>202.31899999999999</v>
      </c>
      <c r="V100" s="208">
        <v>1802.7</v>
      </c>
      <c r="W100" s="52">
        <f t="shared" si="383"/>
        <v>6832.5420000000004</v>
      </c>
      <c r="X100" s="52">
        <f t="shared" si="387"/>
        <v>989.72200000000066</v>
      </c>
      <c r="Y100" s="52">
        <f t="shared" si="388"/>
        <v>1138.7570000000001</v>
      </c>
      <c r="Z100" s="52">
        <f t="shared" si="389"/>
        <v>164.95366666666678</v>
      </c>
      <c r="AA100" s="205">
        <f t="shared" si="416"/>
        <v>0.16939115016379089</v>
      </c>
      <c r="AB100" s="44"/>
      <c r="AC100" s="45">
        <v>252.2</v>
      </c>
      <c r="AD100" s="45">
        <v>17.100000000000001</v>
      </c>
      <c r="AE100" s="45">
        <v>638.29999999999995</v>
      </c>
      <c r="AF100" s="45">
        <v>0</v>
      </c>
      <c r="AG100" s="55">
        <f>SUM(AC100:AF100)</f>
        <v>907.59999999999991</v>
      </c>
      <c r="AH100" s="45">
        <v>28.300999999999998</v>
      </c>
      <c r="AI100" s="45">
        <v>319.54000000000002</v>
      </c>
      <c r="AJ100" s="45">
        <v>9.7050000000000001</v>
      </c>
      <c r="AK100" s="45">
        <v>0</v>
      </c>
      <c r="AL100" s="55">
        <f t="shared" si="307"/>
        <v>357.54599999999999</v>
      </c>
      <c r="AM100" s="45">
        <v>27.45</v>
      </c>
      <c r="AN100" s="45">
        <v>91.683000000000007</v>
      </c>
      <c r="AO100" s="45">
        <v>1.8120000000000001</v>
      </c>
      <c r="AP100" s="45">
        <v>0</v>
      </c>
      <c r="AQ100" s="55">
        <f>SUM(AM100:AP100)</f>
        <v>120.94500000000001</v>
      </c>
      <c r="AR100" s="55">
        <f t="shared" si="9"/>
        <v>3778.5459999999998</v>
      </c>
      <c r="AS100" s="55">
        <f t="shared" si="10"/>
        <v>629.75766666666664</v>
      </c>
      <c r="AT100" s="46">
        <v>365.91500000000002</v>
      </c>
      <c r="AU100" s="46">
        <v>138.77199999999999</v>
      </c>
      <c r="AV100" s="46">
        <v>332.70299999999997</v>
      </c>
      <c r="AW100" s="46">
        <f>6638.192-149</f>
        <v>6489.192</v>
      </c>
      <c r="AX100" s="50">
        <f t="shared" si="390"/>
        <v>7326.5820000000003</v>
      </c>
      <c r="AY100" s="52">
        <f t="shared" si="391"/>
        <v>20004.402000000002</v>
      </c>
      <c r="AZ100" s="52">
        <f t="shared" si="392"/>
        <v>1288.5119999999997</v>
      </c>
      <c r="BA100" s="52">
        <f t="shared" si="393"/>
        <v>7731.0719999999992</v>
      </c>
      <c r="BB100" s="50">
        <f t="shared" si="394"/>
        <v>15.525196505736854</v>
      </c>
      <c r="BC100" s="50">
        <f t="shared" si="395"/>
        <v>2.5875327509561421</v>
      </c>
      <c r="BD100" s="44"/>
      <c r="BE100" s="47">
        <f>1940.074+957.522</f>
        <v>2897.596</v>
      </c>
      <c r="BF100" s="48">
        <f>402.01</f>
        <v>402.01</v>
      </c>
      <c r="BG100" s="48">
        <v>0</v>
      </c>
      <c r="BH100" s="47">
        <f t="shared" si="417"/>
        <v>263.90844900736369</v>
      </c>
      <c r="BI100" s="48">
        <v>342.74099999999999</v>
      </c>
      <c r="BJ100" s="48">
        <v>0</v>
      </c>
      <c r="BK100" s="47">
        <f t="shared" si="418"/>
        <v>224.99998935656535</v>
      </c>
      <c r="BL100" s="48"/>
      <c r="BM100" s="34">
        <v>0</v>
      </c>
      <c r="BN100" s="47">
        <f t="shared" si="396"/>
        <v>0</v>
      </c>
      <c r="BO100" s="48">
        <v>258.62799999999999</v>
      </c>
      <c r="BP100" s="48">
        <v>0</v>
      </c>
      <c r="BQ100" s="47">
        <f t="shared" si="419"/>
        <v>169.78213066808402</v>
      </c>
      <c r="BR100" s="48">
        <v>12592.914999999999</v>
      </c>
      <c r="BS100" s="48">
        <v>16639.231</v>
      </c>
      <c r="BT100" s="202">
        <f t="shared" si="397"/>
        <v>0.65647234896486084</v>
      </c>
      <c r="BU100" s="49">
        <f t="shared" si="398"/>
        <v>3556.2865690320132</v>
      </c>
      <c r="BV100" s="50">
        <f t="shared" si="399"/>
        <v>18.710043486816584</v>
      </c>
      <c r="BW100" s="50">
        <f t="shared" si="400"/>
        <v>3.1183405811360974</v>
      </c>
      <c r="BX100" s="44"/>
      <c r="BY100" s="91">
        <f t="shared" si="401"/>
        <v>10882.868569032013</v>
      </c>
      <c r="BZ100" s="56">
        <f t="shared" si="402"/>
        <v>1088.2868569032014</v>
      </c>
      <c r="CA100" s="141">
        <f t="shared" si="403"/>
        <v>0.1485395040829682</v>
      </c>
      <c r="CB100" s="56">
        <f t="shared" si="404"/>
        <v>5.7256056348496536</v>
      </c>
      <c r="CC100" s="56">
        <f t="shared" si="405"/>
        <v>0.95426760580827552</v>
      </c>
      <c r="CD100" s="56">
        <f t="shared" si="406"/>
        <v>38.546012861679948</v>
      </c>
      <c r="CE100" s="56">
        <f t="shared" si="406"/>
        <v>6.4243354769466574</v>
      </c>
      <c r="CF100" s="56">
        <f t="shared" si="407"/>
        <v>34.235239992553439</v>
      </c>
      <c r="CG100" s="56">
        <f t="shared" si="408"/>
        <v>39.960845627403089</v>
      </c>
      <c r="CH100" s="56">
        <f t="shared" si="409"/>
        <v>72.781252854233387</v>
      </c>
      <c r="CI100" s="56">
        <f t="shared" si="410"/>
        <v>5.7058733320922395</v>
      </c>
      <c r="CJ100" s="56">
        <f t="shared" si="411"/>
        <v>6.6601409379005148</v>
      </c>
      <c r="CK100" s="56">
        <f t="shared" si="412"/>
        <v>12.130208809038898</v>
      </c>
      <c r="CL100" s="51">
        <v>4</v>
      </c>
      <c r="CM100" s="56">
        <f t="shared" si="413"/>
        <v>3.4235239992553437</v>
      </c>
      <c r="CN100" s="56">
        <f t="shared" si="414"/>
        <v>650.72175945979382</v>
      </c>
      <c r="CO100" s="173">
        <f t="shared" si="415"/>
        <v>8.8816553129384718E-2</v>
      </c>
      <c r="CP100" s="174">
        <v>17.253</v>
      </c>
      <c r="CQ100" s="328"/>
      <c r="CR100" s="82"/>
      <c r="CS100" s="270">
        <f>+CT100*CU100</f>
        <v>404.62439999999998</v>
      </c>
      <c r="CT100" s="269">
        <f>0.894*91.25</f>
        <v>81.577500000000001</v>
      </c>
      <c r="CU100" s="133">
        <v>4.96</v>
      </c>
      <c r="CV100" s="269">
        <f>+CW100*CX100</f>
        <v>349.44187499999998</v>
      </c>
      <c r="CW100" s="269">
        <f>0.925*365/4</f>
        <v>84.40625</v>
      </c>
      <c r="CX100" s="133">
        <v>4.1399999999999997</v>
      </c>
      <c r="CY100" s="269">
        <f>+CZ100*DA100</f>
        <v>298.81455</v>
      </c>
      <c r="CZ100" s="269">
        <f>0.941*365/4</f>
        <v>85.866249999999994</v>
      </c>
      <c r="DA100" s="133">
        <v>3.48</v>
      </c>
      <c r="DB100" s="269">
        <f t="shared" si="420"/>
        <v>266.81317500000029</v>
      </c>
      <c r="DC100" s="269">
        <f t="shared" si="420"/>
        <v>83.950000000000031</v>
      </c>
      <c r="DD100" s="133">
        <f>+DB100/DC100</f>
        <v>3.1782391304347848</v>
      </c>
      <c r="DE100" s="274">
        <f>+DF100*DG100</f>
        <v>1319.6940000000002</v>
      </c>
      <c r="DF100" s="274">
        <f>0.92*365</f>
        <v>335.8</v>
      </c>
      <c r="DG100" s="273">
        <v>3.93</v>
      </c>
      <c r="DH100" s="272">
        <f>+DI100*DJ100</f>
        <v>2368.8224425000003</v>
      </c>
      <c r="DI100" s="272">
        <f>0.2581*91.25</f>
        <v>23.551625000000001</v>
      </c>
      <c r="DJ100" s="296">
        <v>100.58</v>
      </c>
      <c r="DK100" s="272">
        <f>+DL100*DM100</f>
        <v>2572.377285</v>
      </c>
      <c r="DL100" s="272">
        <f>0.2746*91.25</f>
        <v>25.05725</v>
      </c>
      <c r="DM100" s="296">
        <v>102.66</v>
      </c>
      <c r="DN100" s="272">
        <f>+DO100*DP100</f>
        <v>2604.0154849999999</v>
      </c>
      <c r="DO100" s="272">
        <f>0.2932*91.25</f>
        <v>26.7545</v>
      </c>
      <c r="DP100" s="296">
        <v>97.33</v>
      </c>
      <c r="DQ100" s="272">
        <f t="shared" si="421"/>
        <v>1999.4836874999987</v>
      </c>
      <c r="DR100" s="272">
        <f t="shared" si="421"/>
        <v>27.566625000000002</v>
      </c>
      <c r="DS100" s="296">
        <f>+DQ100/DR100</f>
        <v>72.532770605759637</v>
      </c>
      <c r="DT100" s="277">
        <f>+DU100*DV100</f>
        <v>9544.6988999999994</v>
      </c>
      <c r="DU100" s="277">
        <f>0.282*365</f>
        <v>102.92999999999999</v>
      </c>
      <c r="DV100" s="297">
        <v>92.73</v>
      </c>
      <c r="DW100" s="99">
        <f>+DX100*DY100</f>
        <v>246.14505000000003</v>
      </c>
      <c r="DX100" s="99">
        <f>0.0708*91.25</f>
        <v>6.4605000000000006</v>
      </c>
      <c r="DY100" s="298">
        <v>38.1</v>
      </c>
      <c r="DZ100" s="99">
        <f>+EA100*EB100</f>
        <v>246.05334375000001</v>
      </c>
      <c r="EA100" s="99">
        <f>0.0785*91.25</f>
        <v>7.163125</v>
      </c>
      <c r="EB100" s="298">
        <v>34.35</v>
      </c>
      <c r="EC100" s="99">
        <f>+ED100*EE100</f>
        <v>255.31184249999998</v>
      </c>
      <c r="ED100" s="99">
        <f>0.0858*91.25</f>
        <v>7.82925</v>
      </c>
      <c r="EE100" s="298">
        <v>32.61</v>
      </c>
      <c r="EF100" s="99">
        <f t="shared" si="422"/>
        <v>178.73128374999987</v>
      </c>
      <c r="EG100" s="99">
        <f t="shared" si="422"/>
        <v>7.6376249999999954</v>
      </c>
      <c r="EH100" s="298">
        <f>+EF100/EG100</f>
        <v>23.401421744324967</v>
      </c>
      <c r="EI100" s="282">
        <f>+EJ100*EK100</f>
        <v>926.24151999999992</v>
      </c>
      <c r="EJ100" s="282">
        <f>0.0797*365</f>
        <v>29.090499999999999</v>
      </c>
      <c r="EK100" s="299">
        <v>31.84</v>
      </c>
      <c r="EL100" s="344">
        <v>93.17</v>
      </c>
      <c r="EM100" s="344">
        <v>4.37</v>
      </c>
      <c r="EN100" s="344">
        <v>9.56</v>
      </c>
      <c r="EO100" s="74">
        <v>5.21</v>
      </c>
      <c r="EP100" s="74">
        <v>4.6100000000000003</v>
      </c>
      <c r="EQ100" s="74">
        <v>3.96</v>
      </c>
      <c r="ER100" s="74">
        <v>3.8</v>
      </c>
      <c r="ES100" s="74">
        <v>11.19</v>
      </c>
      <c r="ET100" s="74">
        <v>10.15</v>
      </c>
      <c r="EU100" s="74">
        <v>9.83</v>
      </c>
      <c r="EV100" s="74">
        <v>7.41</v>
      </c>
      <c r="EW100" s="74">
        <v>98.68</v>
      </c>
      <c r="EX100" s="74">
        <v>103.35</v>
      </c>
      <c r="EY100" s="74">
        <v>97.87</v>
      </c>
      <c r="EZ100" s="74">
        <v>73.209999999999994</v>
      </c>
    </row>
    <row r="101" spans="1:156" s="225" customFormat="1" ht="26.25" customHeight="1" x14ac:dyDescent="0.3">
      <c r="A101" s="43" t="s">
        <v>50</v>
      </c>
      <c r="B101" s="43" t="s">
        <v>51</v>
      </c>
      <c r="C101" s="53">
        <v>2015</v>
      </c>
      <c r="D101" s="52">
        <v>337.3</v>
      </c>
      <c r="E101" s="52">
        <v>103.4</v>
      </c>
      <c r="F101" s="52">
        <v>28.079000000000001</v>
      </c>
      <c r="G101" s="52">
        <f t="shared" si="0"/>
        <v>187.69566666666668</v>
      </c>
      <c r="H101" s="52">
        <f t="shared" si="1"/>
        <v>1126.174</v>
      </c>
      <c r="I101" s="52">
        <f>475.7-D101</f>
        <v>138.39999999999998</v>
      </c>
      <c r="J101" s="52">
        <f>103.797-E101</f>
        <v>0.39699999999999136</v>
      </c>
      <c r="K101" s="52">
        <v>1.9E-2</v>
      </c>
      <c r="L101" s="52">
        <f>I101/6+J101+K101</f>
        <v>23.482666666666653</v>
      </c>
      <c r="M101" s="52">
        <f>I101+J101*6+K101*6</f>
        <v>140.89599999999993</v>
      </c>
      <c r="N101" s="52">
        <f>G101+L101</f>
        <v>211.17833333333334</v>
      </c>
      <c r="O101" s="52">
        <f>H101+M101</f>
        <v>1267.07</v>
      </c>
      <c r="P101" s="54">
        <f>+H101/O101</f>
        <v>0.8888017236616762</v>
      </c>
      <c r="Q101" s="54">
        <f t="shared" si="306"/>
        <v>0.29950966724502609</v>
      </c>
      <c r="R101" s="54">
        <f t="shared" si="385"/>
        <v>0.55089178048862786</v>
      </c>
      <c r="S101" s="54">
        <f t="shared" si="386"/>
        <v>0.14959855226634605</v>
      </c>
      <c r="T101" s="208">
        <v>643.79</v>
      </c>
      <c r="U101" s="208">
        <v>176.977</v>
      </c>
      <c r="V101" s="208">
        <v>1278.5999999999999</v>
      </c>
      <c r="W101" s="52">
        <f>+T101*6+U101*6+V101</f>
        <v>6203.2019999999993</v>
      </c>
      <c r="X101" s="52">
        <f t="shared" si="387"/>
        <v>-629.34000000000106</v>
      </c>
      <c r="Y101" s="52">
        <f t="shared" si="388"/>
        <v>1033.867</v>
      </c>
      <c r="Z101" s="52">
        <f t="shared" si="389"/>
        <v>-104.8900000000001</v>
      </c>
      <c r="AA101" s="205">
        <f t="shared" si="416"/>
        <v>-9.2109203280418994E-2</v>
      </c>
      <c r="AB101" s="44"/>
      <c r="AC101" s="45">
        <v>-1453.1</v>
      </c>
      <c r="AD101" s="45">
        <v>306.3</v>
      </c>
      <c r="AE101" s="45">
        <v>72.3</v>
      </c>
      <c r="AF101" s="45">
        <v>0</v>
      </c>
      <c r="AG101" s="55">
        <f>SUM(AC101:AF101)</f>
        <v>-1074.5</v>
      </c>
      <c r="AH101" s="45">
        <v>-114.92400000000001</v>
      </c>
      <c r="AI101" s="45">
        <v>141.31</v>
      </c>
      <c r="AJ101" s="45">
        <v>35.921999999999997</v>
      </c>
      <c r="AK101" s="45">
        <v>0</v>
      </c>
      <c r="AL101" s="55">
        <f t="shared" si="307"/>
        <v>62.307999999999993</v>
      </c>
      <c r="AM101" s="45">
        <v>-113.29</v>
      </c>
      <c r="AN101" s="45">
        <v>49.146999999999998</v>
      </c>
      <c r="AO101" s="45">
        <v>8.2509999999999994</v>
      </c>
      <c r="AP101" s="45">
        <v>0</v>
      </c>
      <c r="AQ101" s="55">
        <f>SUM(AM101:AP101)</f>
        <v>-55.892000000000003</v>
      </c>
      <c r="AR101" s="55">
        <f t="shared" si="9"/>
        <v>-1036.0040000000001</v>
      </c>
      <c r="AS101" s="55">
        <f t="shared" si="10"/>
        <v>-172.66733333333335</v>
      </c>
      <c r="AT101" s="46">
        <v>133.80099999999999</v>
      </c>
      <c r="AU101" s="46">
        <v>480.61700000000002</v>
      </c>
      <c r="AV101" s="46">
        <v>206.81399999999999</v>
      </c>
      <c r="AW101" s="46">
        <f>3847.816-32</f>
        <v>3815.8159999999998</v>
      </c>
      <c r="AX101" s="50">
        <f t="shared" si="390"/>
        <v>4637.0479999999998</v>
      </c>
      <c r="AY101" s="52">
        <f>SUM(AX99:AX101)</f>
        <v>18258.454000000002</v>
      </c>
      <c r="AZ101" s="52">
        <f t="shared" si="392"/>
        <v>957.49099999999999</v>
      </c>
      <c r="BA101" s="52">
        <f t="shared" si="393"/>
        <v>5744.945999999999</v>
      </c>
      <c r="BB101" s="50">
        <f>AY101/AZ101</f>
        <v>19.069060701353852</v>
      </c>
      <c r="BC101" s="50">
        <f>AY101/BA101</f>
        <v>3.178176783558976</v>
      </c>
      <c r="BD101" s="44"/>
      <c r="BE101" s="47">
        <f>1486.189+838.428</f>
        <v>2324.6170000000002</v>
      </c>
      <c r="BF101" s="48">
        <f>366.594</f>
        <v>366.59399999999999</v>
      </c>
      <c r="BG101" s="48">
        <v>0</v>
      </c>
      <c r="BH101" s="47">
        <f t="shared" si="417"/>
        <v>241.02066279278657</v>
      </c>
      <c r="BI101" s="48">
        <v>41.107999999999997</v>
      </c>
      <c r="BJ101" s="48">
        <v>0</v>
      </c>
      <c r="BK101" s="47">
        <f t="shared" si="418"/>
        <v>27.026840063083057</v>
      </c>
      <c r="BL101" s="48"/>
      <c r="BM101" s="48">
        <v>0</v>
      </c>
      <c r="BN101" s="47">
        <f t="shared" si="396"/>
        <v>0</v>
      </c>
      <c r="BO101" s="48">
        <v>279.23399999999998</v>
      </c>
      <c r="BP101" s="48">
        <v>0</v>
      </c>
      <c r="BQ101" s="47">
        <f t="shared" si="419"/>
        <v>183.58501163216246</v>
      </c>
      <c r="BR101" s="48">
        <v>6403.2579999999998</v>
      </c>
      <c r="BS101" s="48">
        <v>8656.393</v>
      </c>
      <c r="BT101" s="202">
        <f t="shared" si="397"/>
        <v>0.65745937683864597</v>
      </c>
      <c r="BU101" s="49">
        <f t="shared" si="398"/>
        <v>2776.2495144880322</v>
      </c>
      <c r="BV101" s="50">
        <f t="shared" si="399"/>
        <v>14.791228608481632</v>
      </c>
      <c r="BW101" s="50">
        <f t="shared" si="400"/>
        <v>2.4652047680802722</v>
      </c>
      <c r="BX101" s="44"/>
      <c r="BY101" s="91">
        <f t="shared" si="401"/>
        <v>7413.297514488032</v>
      </c>
      <c r="BZ101" s="56">
        <f>(BY101*0.1)</f>
        <v>741.32975144880322</v>
      </c>
      <c r="CA101" s="141">
        <f t="shared" si="403"/>
        <v>0.15987105405180263</v>
      </c>
      <c r="CB101" s="56">
        <f t="shared" si="404"/>
        <v>3.9496370087507073</v>
      </c>
      <c r="CC101" s="56">
        <f t="shared" si="405"/>
        <v>0.65827283479178456</v>
      </c>
      <c r="CD101" s="56">
        <f t="shared" si="406"/>
        <v>24.705141479025439</v>
      </c>
      <c r="CE101" s="56">
        <f t="shared" si="406"/>
        <v>4.1175235798375738</v>
      </c>
      <c r="CF101" s="56">
        <f t="shared" si="407"/>
        <v>33.86028930983548</v>
      </c>
      <c r="CG101" s="56">
        <f>CB101+CF101</f>
        <v>37.809926318586186</v>
      </c>
      <c r="CH101" s="56">
        <f>CF101+CD101</f>
        <v>58.565430788860922</v>
      </c>
      <c r="CI101" s="56">
        <f t="shared" si="410"/>
        <v>5.6433815516392478</v>
      </c>
      <c r="CJ101" s="56">
        <f>+CI101+CC101</f>
        <v>6.3016543864310322</v>
      </c>
      <c r="CK101" s="56">
        <f>+CI101+CE101</f>
        <v>9.7609051314768216</v>
      </c>
      <c r="CL101" s="51">
        <v>4</v>
      </c>
      <c r="CM101" s="56">
        <f t="shared" si="413"/>
        <v>3.3860289309835481</v>
      </c>
      <c r="CN101" s="56">
        <f t="shared" si="414"/>
        <v>635.54295755357771</v>
      </c>
      <c r="CO101" s="173">
        <f t="shared" si="415"/>
        <v>0.13705766201979747</v>
      </c>
      <c r="CP101" s="174">
        <v>8.9550000000000001</v>
      </c>
      <c r="CQ101" s="328"/>
      <c r="CR101" s="169"/>
      <c r="CS101" s="270">
        <f>+CT101*CU101</f>
        <v>187.45943750000001</v>
      </c>
      <c r="CT101" s="269">
        <f>0.905*91.25</f>
        <v>82.581249999999997</v>
      </c>
      <c r="CU101" s="133">
        <v>2.27</v>
      </c>
      <c r="CV101" s="269">
        <f>+CW101*CX101</f>
        <v>171.55091250000001</v>
      </c>
      <c r="CW101" s="269">
        <f>0.891*91.25</f>
        <v>81.303750000000008</v>
      </c>
      <c r="CX101" s="133">
        <v>2.11</v>
      </c>
      <c r="CY101" s="269">
        <f>+CZ101*DA101</f>
        <v>165.48735000000002</v>
      </c>
      <c r="CZ101" s="269">
        <f>0.889*91.25</f>
        <v>81.121250000000003</v>
      </c>
      <c r="DA101" s="133">
        <v>2.04</v>
      </c>
      <c r="DB101" s="269">
        <f t="shared" si="420"/>
        <v>112.58059999999998</v>
      </c>
      <c r="DC101" s="269">
        <f t="shared" si="420"/>
        <v>78.383749999999964</v>
      </c>
      <c r="DD101" s="133">
        <f>+DB101/DC101</f>
        <v>1.4362747380675207</v>
      </c>
      <c r="DE101" s="274">
        <f>+DF101*DG101</f>
        <v>637.07830000000001</v>
      </c>
      <c r="DF101" s="274">
        <f>0.886*365</f>
        <v>323.39</v>
      </c>
      <c r="DG101" s="273">
        <v>1.97</v>
      </c>
      <c r="DH101" s="272">
        <f>+DI101*DJ101</f>
        <v>1272.7190475</v>
      </c>
      <c r="DI101" s="272">
        <f>0.2986*91.25</f>
        <v>27.247249999999998</v>
      </c>
      <c r="DJ101" s="296">
        <v>46.71</v>
      </c>
      <c r="DK101" s="272">
        <f>+DL101*DM101</f>
        <v>1450.0040187500001</v>
      </c>
      <c r="DL101" s="272">
        <f>0.2765*91.25</f>
        <v>25.230625000000003</v>
      </c>
      <c r="DM101" s="296">
        <v>57.47</v>
      </c>
      <c r="DN101" s="272">
        <f>+DO101*DP101</f>
        <v>1166.3866087500001</v>
      </c>
      <c r="DO101" s="272">
        <f>0.2783*91.25</f>
        <v>25.394874999999999</v>
      </c>
      <c r="DP101" s="296">
        <v>45.93</v>
      </c>
      <c r="DQ101" s="272">
        <f t="shared" si="421"/>
        <v>1027.7742999999998</v>
      </c>
      <c r="DR101" s="272">
        <f t="shared" si="421"/>
        <v>25.531749999999999</v>
      </c>
      <c r="DS101" s="296">
        <f>+DQ101/DR101</f>
        <v>40.254753395282336</v>
      </c>
      <c r="DT101" s="277">
        <f>+DU101*DV101</f>
        <v>4916.8839749999997</v>
      </c>
      <c r="DU101" s="277">
        <f>0.2833*365</f>
        <v>103.4045</v>
      </c>
      <c r="DV101" s="297">
        <v>47.55</v>
      </c>
      <c r="DW101" s="99">
        <f>+DX101*DY101</f>
        <v>113.710275</v>
      </c>
      <c r="DX101" s="99">
        <f>0.0774*91.25</f>
        <v>7.0627499999999994</v>
      </c>
      <c r="DY101" s="298">
        <v>16.100000000000001</v>
      </c>
      <c r="DZ101" s="99">
        <f>+EA101*EB101</f>
        <v>104.15001250000002</v>
      </c>
      <c r="EA101" s="99">
        <f>0.0734*91.25</f>
        <v>6.697750000000001</v>
      </c>
      <c r="EB101" s="298">
        <v>15.55</v>
      </c>
      <c r="EC101" s="99">
        <f>+ED101*EE101</f>
        <v>93.944156250000006</v>
      </c>
      <c r="ED101" s="99">
        <f>0.0777*91.25</f>
        <v>7.0901250000000005</v>
      </c>
      <c r="EE101" s="298">
        <v>13.25</v>
      </c>
      <c r="EF101" s="99">
        <f t="shared" si="422"/>
        <v>95.188806249999999</v>
      </c>
      <c r="EG101" s="99">
        <f t="shared" si="422"/>
        <v>7.2178749999999994</v>
      </c>
      <c r="EH101" s="298">
        <f>+EF101/EG101</f>
        <v>13.187926675094818</v>
      </c>
      <c r="EI101" s="282">
        <f>+EJ101*EK101</f>
        <v>406.99324999999999</v>
      </c>
      <c r="EJ101" s="282">
        <f>0.0769*365</f>
        <v>28.0685</v>
      </c>
      <c r="EK101" s="299">
        <v>14.5</v>
      </c>
      <c r="EL101" s="344">
        <v>48.66</v>
      </c>
      <c r="EM101" s="344">
        <v>2.62</v>
      </c>
      <c r="EN101" s="344">
        <v>4.97</v>
      </c>
      <c r="EO101" s="331">
        <v>2.9</v>
      </c>
      <c r="EP101" s="331">
        <v>2.75</v>
      </c>
      <c r="EQ101" s="331">
        <v>2.76</v>
      </c>
      <c r="ER101" s="331">
        <v>2.12</v>
      </c>
      <c r="ES101" s="331">
        <v>5.43</v>
      </c>
      <c r="ET101" s="331">
        <v>5.2</v>
      </c>
      <c r="EU101" s="331">
        <v>4.68</v>
      </c>
      <c r="EV101" s="331">
        <v>4.5999999999999996</v>
      </c>
      <c r="EW101" s="331">
        <v>48.49</v>
      </c>
      <c r="EX101" s="331">
        <v>57.85</v>
      </c>
      <c r="EY101" s="331">
        <v>46.64</v>
      </c>
      <c r="EZ101" s="331">
        <v>41.94</v>
      </c>
    </row>
    <row r="102" spans="1:156" s="225" customFormat="1" ht="26.25" customHeight="1" x14ac:dyDescent="0.3">
      <c r="A102" s="228" t="s">
        <v>50</v>
      </c>
      <c r="B102" s="228" t="s">
        <v>51</v>
      </c>
      <c r="C102" s="229">
        <v>2016</v>
      </c>
      <c r="D102" s="216">
        <v>308.60000000000002</v>
      </c>
      <c r="E102" s="216">
        <v>101.854</v>
      </c>
      <c r="F102" s="216">
        <v>29.878</v>
      </c>
      <c r="G102" s="216">
        <f t="shared" si="0"/>
        <v>183.16533333333331</v>
      </c>
      <c r="H102" s="216">
        <f t="shared" si="1"/>
        <v>1098.992</v>
      </c>
      <c r="I102" s="216">
        <f>442.6-D102</f>
        <v>134</v>
      </c>
      <c r="J102" s="216">
        <f>103.411-E102</f>
        <v>1.5570000000000022</v>
      </c>
      <c r="K102" s="216">
        <v>0</v>
      </c>
      <c r="L102" s="216">
        <f>I102/6+J102+K102</f>
        <v>23.890333333333334</v>
      </c>
      <c r="M102" s="216">
        <f>I102+J102*6+K102*6</f>
        <v>143.34200000000001</v>
      </c>
      <c r="N102" s="216">
        <f>G102+L102</f>
        <v>207.05566666666664</v>
      </c>
      <c r="O102" s="216">
        <f>H102+M102</f>
        <v>1242.3340000000001</v>
      </c>
      <c r="P102" s="302">
        <f>+H102/O102</f>
        <v>0.88461879011602351</v>
      </c>
      <c r="Q102" s="302">
        <f t="shared" si="306"/>
        <v>0.28080277199470061</v>
      </c>
      <c r="R102" s="302">
        <f>E102/G102</f>
        <v>0.55607684132368573</v>
      </c>
      <c r="S102" s="302">
        <f>F102/G102</f>
        <v>0.16312038668161372</v>
      </c>
      <c r="T102" s="209">
        <v>660.96</v>
      </c>
      <c r="U102" s="209">
        <v>186.14699999999999</v>
      </c>
      <c r="V102" s="209">
        <v>1216.8</v>
      </c>
      <c r="W102" s="216">
        <f>+T102*6+U102*6+V102</f>
        <v>6299.442</v>
      </c>
      <c r="X102" s="216">
        <f>W102-W101</f>
        <v>96.240000000000691</v>
      </c>
      <c r="Y102" s="216">
        <f>+T102+U102+V102/6</f>
        <v>1049.9069999999999</v>
      </c>
      <c r="Z102" s="216">
        <f>Y102-Y101</f>
        <v>16.039999999999964</v>
      </c>
      <c r="AA102" s="206">
        <f>+Z102/Y101</f>
        <v>1.5514568121431446E-2</v>
      </c>
      <c r="AB102" s="230"/>
      <c r="AC102" s="231">
        <v>298.39999999999998</v>
      </c>
      <c r="AD102" s="231">
        <v>202.1</v>
      </c>
      <c r="AE102" s="231">
        <v>91.5</v>
      </c>
      <c r="AF102" s="231">
        <v>0</v>
      </c>
      <c r="AG102" s="303">
        <f>SUM(AC102:AF102)</f>
        <v>592</v>
      </c>
      <c r="AH102" s="231">
        <v>42.04</v>
      </c>
      <c r="AI102" s="231">
        <v>123.441</v>
      </c>
      <c r="AJ102" s="231">
        <v>25.795000000000002</v>
      </c>
      <c r="AK102" s="231">
        <v>0</v>
      </c>
      <c r="AL102" s="303">
        <f t="shared" si="307"/>
        <v>191.27600000000001</v>
      </c>
      <c r="AM102" s="231">
        <v>53.771000000000001</v>
      </c>
      <c r="AN102" s="231">
        <v>41.862000000000002</v>
      </c>
      <c r="AO102" s="231">
        <v>1.284</v>
      </c>
      <c r="AP102" s="231">
        <v>0</v>
      </c>
      <c r="AQ102" s="303">
        <f>SUM(AM102:AP102)</f>
        <v>96.917000000000016</v>
      </c>
      <c r="AR102" s="303">
        <f t="shared" si="9"/>
        <v>2321.1579999999999</v>
      </c>
      <c r="AS102" s="303">
        <f t="shared" si="10"/>
        <v>386.85966666666673</v>
      </c>
      <c r="AT102" s="232">
        <v>3216.598</v>
      </c>
      <c r="AU102" s="232">
        <v>749.02300000000002</v>
      </c>
      <c r="AV102" s="232">
        <v>156.29499999999999</v>
      </c>
      <c r="AW102" s="232">
        <f>2252.713+42</f>
        <v>2294.7130000000002</v>
      </c>
      <c r="AX102" s="215">
        <f>SUM(AT102:AW102)</f>
        <v>6416.6290000000008</v>
      </c>
      <c r="AY102" s="216">
        <f>SUM(AX100:AX102)</f>
        <v>18380.259000000002</v>
      </c>
      <c r="AZ102" s="216">
        <f>SUM(AS100:AS102)</f>
        <v>843.95</v>
      </c>
      <c r="BA102" s="216">
        <f>SUM(AR100:AR102)</f>
        <v>5063.6999999999989</v>
      </c>
      <c r="BB102" s="215">
        <f>AY102/AZ102</f>
        <v>21.778848273001955</v>
      </c>
      <c r="BC102" s="215">
        <f>AY102/BA102</f>
        <v>3.6298080455003272</v>
      </c>
      <c r="BD102" s="230"/>
      <c r="BE102" s="212">
        <f>1163.827+753.791</f>
        <v>1917.6179999999999</v>
      </c>
      <c r="BF102" s="200">
        <v>394.815</v>
      </c>
      <c r="BG102" s="200">
        <v>0</v>
      </c>
      <c r="BH102" s="212">
        <f>IF(BG102=0,BF102*$BT102,BG102)</f>
        <v>257.24188196492253</v>
      </c>
      <c r="BI102" s="200">
        <v>-39.238999999999997</v>
      </c>
      <c r="BJ102" s="200">
        <v>0</v>
      </c>
      <c r="BK102" s="212">
        <f>IF(BJ102=0,BI102*$BT102,BJ102)</f>
        <v>-25.566187217865568</v>
      </c>
      <c r="BL102" s="200"/>
      <c r="BM102" s="200">
        <v>0</v>
      </c>
      <c r="BN102" s="212">
        <f>IF(BM102=0,BL102*P102*BR102/BS102,BM102)</f>
        <v>0</v>
      </c>
      <c r="BO102" s="200">
        <v>313.34100000000001</v>
      </c>
      <c r="BP102" s="200">
        <v>0</v>
      </c>
      <c r="BQ102" s="212">
        <f>IF(BP102=0,BO102*$BT102,BP102)</f>
        <v>204.15746244892114</v>
      </c>
      <c r="BR102" s="200">
        <v>5496.7430000000004</v>
      </c>
      <c r="BS102" s="200">
        <f>4317.341+437.25+742.152+1966.259</f>
        <v>7463.0020000000004</v>
      </c>
      <c r="BT102" s="203">
        <f>+P102*BR102/BS102</f>
        <v>0.65155042732652646</v>
      </c>
      <c r="BU102" s="220">
        <f>BQ102+BN102+BK102+BH102+BE102</f>
        <v>2353.4511571959779</v>
      </c>
      <c r="BV102" s="215">
        <f>BU102/G102</f>
        <v>12.848780467169798</v>
      </c>
      <c r="BW102" s="215">
        <f>BU102/H102</f>
        <v>2.141463411194966</v>
      </c>
      <c r="BX102" s="230"/>
      <c r="BY102" s="304">
        <f>BU102+AX102</f>
        <v>8770.0801571959782</v>
      </c>
      <c r="BZ102" s="305">
        <f>(BY102*0.1)</f>
        <v>877.00801571959789</v>
      </c>
      <c r="CA102" s="306">
        <f>+BZ102/AX102</f>
        <v>0.13667737619232742</v>
      </c>
      <c r="CB102" s="305">
        <f>BZ102/G102</f>
        <v>4.7880676968691205</v>
      </c>
      <c r="CC102" s="305">
        <f>BZ102/H102</f>
        <v>0.7980112828115199</v>
      </c>
      <c r="CD102" s="305">
        <f>+$AX102/G102</f>
        <v>35.031896501521402</v>
      </c>
      <c r="CE102" s="305">
        <f>+$AX102/H102</f>
        <v>5.8386494169202336</v>
      </c>
      <c r="CF102" s="305">
        <f>BB102+BV102</f>
        <v>34.627628740171751</v>
      </c>
      <c r="CG102" s="305">
        <f>CB102+CF102</f>
        <v>39.415696437040872</v>
      </c>
      <c r="CH102" s="305">
        <f>CF102+CD102</f>
        <v>69.65952524169316</v>
      </c>
      <c r="CI102" s="305">
        <f>+BC102+BW102</f>
        <v>5.7712714566952936</v>
      </c>
      <c r="CJ102" s="305">
        <f>+CI102+CC102</f>
        <v>6.5692827395068134</v>
      </c>
      <c r="CK102" s="305">
        <f>+CI102+CE102</f>
        <v>11.609920873615527</v>
      </c>
      <c r="CL102" s="307">
        <v>4</v>
      </c>
      <c r="CM102" s="305">
        <f>+CF102/10</f>
        <v>3.4627628740171752</v>
      </c>
      <c r="CN102" s="305">
        <f>+CM102*G102</f>
        <v>634.2581160736471</v>
      </c>
      <c r="CO102" s="308">
        <f>+CN102/AX102</f>
        <v>9.8846000925664715E-2</v>
      </c>
      <c r="CP102" s="309">
        <v>0</v>
      </c>
      <c r="CQ102" s="329"/>
      <c r="CR102" s="325"/>
      <c r="CS102" s="313">
        <f>+CT102*CU102</f>
        <v>96.070737499999993</v>
      </c>
      <c r="CT102" s="313">
        <f>0.829*91.25</f>
        <v>75.646249999999995</v>
      </c>
      <c r="CU102" s="314">
        <v>1.27</v>
      </c>
      <c r="CV102" s="313">
        <f>+CW102*CX102</f>
        <v>88.29349999999998</v>
      </c>
      <c r="CW102" s="313">
        <f>0.82*91.25</f>
        <v>74.824999999999989</v>
      </c>
      <c r="CX102" s="314">
        <v>1.18</v>
      </c>
      <c r="CY102" s="313">
        <f>+CZ102*DA102</f>
        <v>140.02677500000001</v>
      </c>
      <c r="CZ102" s="313">
        <f>0.791*91.25</f>
        <v>72.178750000000008</v>
      </c>
      <c r="DA102" s="314">
        <v>1.94</v>
      </c>
      <c r="DB102" s="313">
        <f t="shared" si="420"/>
        <v>149.20898750000001</v>
      </c>
      <c r="DC102" s="313">
        <f t="shared" si="420"/>
        <v>73.349999999999994</v>
      </c>
      <c r="DD102" s="314">
        <f>+DB102/DC102</f>
        <v>2.0342056918882077</v>
      </c>
      <c r="DE102" s="315">
        <f>+DF102*DG102</f>
        <v>473.6</v>
      </c>
      <c r="DF102" s="315">
        <v>296</v>
      </c>
      <c r="DG102" s="316">
        <v>1.6</v>
      </c>
      <c r="DH102" s="317">
        <f>+DI102*DJ102</f>
        <v>748.72869749999995</v>
      </c>
      <c r="DI102" s="317">
        <f>0.2658*91.25</f>
        <v>24.254249999999999</v>
      </c>
      <c r="DJ102" s="318">
        <v>30.87</v>
      </c>
      <c r="DK102" s="317">
        <f>+DL102*DM102</f>
        <v>1062.4326925</v>
      </c>
      <c r="DL102" s="317">
        <f>0.2654*91.25</f>
        <v>24.217750000000002</v>
      </c>
      <c r="DM102" s="318">
        <v>43.87</v>
      </c>
      <c r="DN102" s="317">
        <f>+DO102*DP102</f>
        <v>1108.7402424999998</v>
      </c>
      <c r="DO102" s="317">
        <f>0.2783*91.25</f>
        <v>25.394874999999999</v>
      </c>
      <c r="DP102" s="318">
        <v>43.66</v>
      </c>
      <c r="DQ102" s="317">
        <f t="shared" si="421"/>
        <v>1343.594367500001</v>
      </c>
      <c r="DR102" s="317">
        <f t="shared" si="421"/>
        <v>28.033125000000005</v>
      </c>
      <c r="DS102" s="318">
        <f>+DQ102/DR102</f>
        <v>47.928811629099528</v>
      </c>
      <c r="DT102" s="319">
        <f>+DU102*DV102</f>
        <v>4263.496000000001</v>
      </c>
      <c r="DU102" s="319">
        <v>101.9</v>
      </c>
      <c r="DV102" s="320">
        <v>41.84</v>
      </c>
      <c r="DW102" s="187">
        <f>+DX102*DY102</f>
        <v>75.423052499999997</v>
      </c>
      <c r="DX102" s="187">
        <f>0.0794*91.25</f>
        <v>7.2452499999999995</v>
      </c>
      <c r="DY102" s="321">
        <v>10.41</v>
      </c>
      <c r="DZ102" s="187">
        <f>+EA102*EB102</f>
        <v>112.00098000000001</v>
      </c>
      <c r="EA102" s="187">
        <f>0.0843*91.25</f>
        <v>7.6923750000000002</v>
      </c>
      <c r="EB102" s="321">
        <v>14.56</v>
      </c>
      <c r="EC102" s="187">
        <f>+ED102*EE102</f>
        <v>111.50275499999999</v>
      </c>
      <c r="ED102" s="187">
        <f>0.0819*91.25</f>
        <v>7.4733749999999999</v>
      </c>
      <c r="EE102" s="321">
        <v>14.92</v>
      </c>
      <c r="EF102" s="187">
        <f t="shared" si="422"/>
        <v>138.51021250000002</v>
      </c>
      <c r="EG102" s="187">
        <f t="shared" si="422"/>
        <v>7.4889999999999981</v>
      </c>
      <c r="EH102" s="321">
        <f>+EF102/EG102</f>
        <v>18.495154560021373</v>
      </c>
      <c r="EI102" s="322">
        <f>+EJ102*EK102</f>
        <v>437.43700000000001</v>
      </c>
      <c r="EJ102" s="322">
        <v>29.9</v>
      </c>
      <c r="EK102" s="323">
        <v>14.63</v>
      </c>
      <c r="EL102" s="345">
        <v>43.2</v>
      </c>
      <c r="EM102" s="345">
        <v>2.52</v>
      </c>
      <c r="EN102" s="345">
        <v>5.04</v>
      </c>
      <c r="EO102" s="332">
        <v>1.99</v>
      </c>
      <c r="EP102" s="332">
        <v>2.15</v>
      </c>
      <c r="EQ102" s="332">
        <v>2.88</v>
      </c>
      <c r="ER102" s="332">
        <v>3.04</v>
      </c>
      <c r="ES102" s="332">
        <v>4.0199999999999996</v>
      </c>
      <c r="ET102" s="332">
        <v>5</v>
      </c>
      <c r="EU102" s="332">
        <v>5.04</v>
      </c>
      <c r="EV102" s="332">
        <v>6.05</v>
      </c>
      <c r="EW102" s="332">
        <v>33.35</v>
      </c>
      <c r="EX102" s="332">
        <v>45.46</v>
      </c>
      <c r="EY102" s="332">
        <v>44.85</v>
      </c>
      <c r="EZ102" s="332">
        <v>49.14</v>
      </c>
    </row>
    <row r="103" spans="1:156" s="225" customFormat="1" ht="26.25" customHeight="1" x14ac:dyDescent="0.3">
      <c r="A103" s="43" t="s">
        <v>314</v>
      </c>
      <c r="B103" s="43" t="s">
        <v>271</v>
      </c>
      <c r="C103" s="1">
        <v>2007</v>
      </c>
      <c r="D103" s="52">
        <v>38</v>
      </c>
      <c r="E103" s="52">
        <v>15</v>
      </c>
      <c r="F103" s="52">
        <v>0</v>
      </c>
      <c r="G103" s="25">
        <f t="shared" ref="G103:G112" si="423">D103/6+E103+F103</f>
        <v>21.333333333333332</v>
      </c>
      <c r="H103" s="25">
        <f t="shared" ref="H103:H112" si="424">D103+E103*6+F103*6</f>
        <v>128</v>
      </c>
      <c r="I103" s="52">
        <f>101+102</f>
        <v>203</v>
      </c>
      <c r="J103" s="52">
        <f>36+42+7</f>
        <v>85</v>
      </c>
      <c r="K103" s="52">
        <v>0</v>
      </c>
      <c r="L103" s="25">
        <f t="shared" ref="L103:L110" si="425">I103/6+J103+K103</f>
        <v>118.83333333333334</v>
      </c>
      <c r="M103" s="25">
        <f t="shared" ref="M103:M110" si="426">I103+J103*6+K103*6</f>
        <v>713</v>
      </c>
      <c r="N103" s="25">
        <f t="shared" ref="N103:N110" si="427">G103+L103</f>
        <v>140.16666666666669</v>
      </c>
      <c r="O103" s="25">
        <f t="shared" ref="O103:O110" si="428">H103+M103</f>
        <v>841</v>
      </c>
      <c r="P103" s="26">
        <f t="shared" ref="P103:P110" si="429">+H103/O103</f>
        <v>0.15219976218787157</v>
      </c>
      <c r="Q103" s="26">
        <f t="shared" ref="Q103:Q109" si="430">D103/H103</f>
        <v>0.296875</v>
      </c>
      <c r="R103" s="26">
        <f t="shared" si="385"/>
        <v>0.703125</v>
      </c>
      <c r="S103" s="26">
        <f t="shared" si="386"/>
        <v>0</v>
      </c>
      <c r="T103" s="207">
        <v>103</v>
      </c>
      <c r="U103" s="207">
        <v>0</v>
      </c>
      <c r="V103" s="225">
        <v>71</v>
      </c>
      <c r="W103" s="25">
        <f t="shared" si="383"/>
        <v>689</v>
      </c>
      <c r="X103" s="25"/>
      <c r="Y103" s="25">
        <f>+T103+U103+V103/6</f>
        <v>114.83333333333333</v>
      </c>
      <c r="Z103" s="25"/>
      <c r="AA103" s="25"/>
      <c r="AB103" s="44"/>
      <c r="AC103" s="45">
        <v>32</v>
      </c>
      <c r="AD103" s="45">
        <v>26</v>
      </c>
      <c r="AE103" s="45">
        <v>1</v>
      </c>
      <c r="AF103" s="45">
        <v>13</v>
      </c>
      <c r="AG103" s="29">
        <f>SUM(AC103:AF103)</f>
        <v>72</v>
      </c>
      <c r="AH103" s="45">
        <v>37</v>
      </c>
      <c r="AI103" s="45">
        <v>17</v>
      </c>
      <c r="AJ103" s="45">
        <v>5</v>
      </c>
      <c r="AK103" s="45">
        <v>22</v>
      </c>
      <c r="AL103" s="29">
        <f t="shared" si="307"/>
        <v>81</v>
      </c>
      <c r="AM103" s="45">
        <v>0</v>
      </c>
      <c r="AN103" s="45">
        <v>0</v>
      </c>
      <c r="AO103" s="45">
        <v>0</v>
      </c>
      <c r="AP103" s="45">
        <v>0</v>
      </c>
      <c r="AQ103" s="29">
        <f>SUM(AM103:AP103)</f>
        <v>0</v>
      </c>
      <c r="AR103" s="29">
        <f t="shared" ref="AR103:AR112" si="431">(AG103)+(AL103*6)+AQ103*6</f>
        <v>558</v>
      </c>
      <c r="AS103" s="29">
        <f t="shared" ref="AS103:AS112" si="432">AG103/6+AL103+AQ103</f>
        <v>93</v>
      </c>
      <c r="AT103" s="46">
        <v>316</v>
      </c>
      <c r="AU103" s="46">
        <v>137</v>
      </c>
      <c r="AV103" s="46">
        <v>421</v>
      </c>
      <c r="AW103" s="46">
        <f>690-146</f>
        <v>544</v>
      </c>
      <c r="AX103" s="31">
        <f>SUM(AT103:AW103)</f>
        <v>1418</v>
      </c>
      <c r="AY103" s="25"/>
      <c r="AZ103" s="25"/>
      <c r="BA103" s="25"/>
      <c r="BB103" s="31"/>
      <c r="BC103" s="31"/>
      <c r="BD103" s="44"/>
      <c r="BE103" s="47"/>
      <c r="BF103" s="48"/>
      <c r="BG103" s="48"/>
      <c r="BH103" s="32"/>
      <c r="BI103" s="48"/>
      <c r="BJ103" s="48"/>
      <c r="BK103" s="32"/>
      <c r="BL103" s="48"/>
      <c r="BM103" s="48"/>
      <c r="BN103" s="32"/>
      <c r="BO103" s="48"/>
      <c r="BP103" s="48"/>
      <c r="BQ103" s="32"/>
      <c r="BR103" s="34">
        <v>0</v>
      </c>
      <c r="BS103" s="34">
        <v>0</v>
      </c>
      <c r="BT103" s="34"/>
      <c r="BU103" s="35"/>
      <c r="BV103" s="31"/>
      <c r="BW103" s="31"/>
      <c r="BX103" s="44"/>
      <c r="BY103" s="88"/>
      <c r="BZ103" s="36"/>
      <c r="CA103" s="36"/>
      <c r="CB103" s="36"/>
      <c r="CC103" s="36"/>
      <c r="CD103" s="36"/>
      <c r="CE103" s="36"/>
      <c r="CF103" s="36"/>
      <c r="CG103" s="36"/>
      <c r="CH103" s="36"/>
      <c r="CI103" s="36"/>
      <c r="CJ103" s="36"/>
      <c r="CK103" s="36"/>
      <c r="CL103" s="37"/>
      <c r="CM103" s="37"/>
      <c r="CN103" s="37"/>
      <c r="CO103" s="37"/>
      <c r="CP103" s="327"/>
      <c r="CQ103" s="327"/>
      <c r="CS103" s="293"/>
      <c r="CT103" s="227"/>
      <c r="CU103" s="227"/>
      <c r="CV103" s="227"/>
      <c r="CW103" s="227"/>
      <c r="CX103" s="227"/>
      <c r="CY103" s="227"/>
      <c r="CZ103" s="227"/>
      <c r="DA103" s="227"/>
      <c r="DB103" s="227"/>
      <c r="DC103" s="227"/>
      <c r="DD103" s="227"/>
      <c r="DE103" s="275"/>
      <c r="DF103" s="275"/>
      <c r="DG103" s="275"/>
      <c r="DH103" s="226"/>
      <c r="DI103" s="226"/>
      <c r="DJ103" s="226"/>
      <c r="DK103" s="226"/>
      <c r="DL103" s="226"/>
      <c r="DM103" s="226"/>
      <c r="DN103" s="226"/>
      <c r="DO103" s="226"/>
      <c r="DP103" s="226"/>
      <c r="DQ103" s="226"/>
      <c r="DR103" s="226"/>
      <c r="DS103" s="226"/>
      <c r="DT103" s="278"/>
      <c r="DU103" s="278"/>
      <c r="DV103" s="278"/>
      <c r="DW103" s="280"/>
      <c r="DX103" s="280"/>
      <c r="DY103" s="280"/>
      <c r="DZ103" s="280"/>
      <c r="EA103" s="280"/>
      <c r="EB103" s="280"/>
      <c r="EC103" s="280"/>
      <c r="ED103" s="280"/>
      <c r="EE103" s="280"/>
      <c r="EF103" s="280"/>
      <c r="EG103" s="280"/>
      <c r="EH103" s="280"/>
      <c r="EI103" s="283"/>
      <c r="EJ103" s="283"/>
      <c r="EK103" s="294"/>
      <c r="EL103" s="343">
        <v>72.34</v>
      </c>
      <c r="EM103" s="343">
        <v>6.97</v>
      </c>
      <c r="EN103" s="343">
        <v>12.91</v>
      </c>
      <c r="EO103" s="116"/>
      <c r="EP103" s="116"/>
      <c r="EQ103" s="116"/>
      <c r="ER103" s="116"/>
      <c r="ES103" s="116"/>
      <c r="ET103" s="116"/>
      <c r="EU103" s="116"/>
      <c r="EV103" s="116"/>
      <c r="EW103" s="116"/>
      <c r="EX103" s="116"/>
      <c r="EY103" s="116"/>
      <c r="EZ103" s="116"/>
    </row>
    <row r="104" spans="1:156" s="225" customFormat="1" ht="26.25" customHeight="1" x14ac:dyDescent="0.3">
      <c r="A104" s="43" t="s">
        <v>314</v>
      </c>
      <c r="B104" s="43" t="s">
        <v>271</v>
      </c>
      <c r="C104" s="1">
        <v>2008</v>
      </c>
      <c r="D104" s="52">
        <v>34</v>
      </c>
      <c r="E104" s="52">
        <v>15</v>
      </c>
      <c r="F104" s="52">
        <v>0</v>
      </c>
      <c r="G104" s="25">
        <f t="shared" si="423"/>
        <v>20.666666666666668</v>
      </c>
      <c r="H104" s="25">
        <f t="shared" si="424"/>
        <v>124</v>
      </c>
      <c r="I104" s="52">
        <f>101+137</f>
        <v>238</v>
      </c>
      <c r="J104" s="52">
        <f>32+45+5</f>
        <v>82</v>
      </c>
      <c r="K104" s="52">
        <v>0</v>
      </c>
      <c r="L104" s="25">
        <f t="shared" si="425"/>
        <v>121.66666666666666</v>
      </c>
      <c r="M104" s="25">
        <f t="shared" si="426"/>
        <v>730</v>
      </c>
      <c r="N104" s="25">
        <f t="shared" si="427"/>
        <v>142.33333333333331</v>
      </c>
      <c r="O104" s="25">
        <f t="shared" si="428"/>
        <v>854</v>
      </c>
      <c r="P104" s="26">
        <f t="shared" si="429"/>
        <v>0.14519906323185011</v>
      </c>
      <c r="Q104" s="26">
        <f t="shared" si="430"/>
        <v>0.27419354838709675</v>
      </c>
      <c r="R104" s="26">
        <f t="shared" si="385"/>
        <v>0.72580645161290314</v>
      </c>
      <c r="S104" s="26">
        <f t="shared" si="386"/>
        <v>0</v>
      </c>
      <c r="T104" s="207">
        <v>108</v>
      </c>
      <c r="U104" s="207">
        <v>0</v>
      </c>
      <c r="V104" s="225">
        <v>74</v>
      </c>
      <c r="W104" s="25">
        <f t="shared" si="383"/>
        <v>722</v>
      </c>
      <c r="X104" s="25">
        <f>W104-W103</f>
        <v>33</v>
      </c>
      <c r="Y104" s="25">
        <f>+T104+U104+V104/6</f>
        <v>120.33333333333333</v>
      </c>
      <c r="Z104" s="25">
        <f>Y104-Y103</f>
        <v>5.5</v>
      </c>
      <c r="AA104" s="204">
        <f>+Z104/Y103</f>
        <v>4.7895500725689405E-2</v>
      </c>
      <c r="AB104" s="44"/>
      <c r="AC104" s="45">
        <v>147</v>
      </c>
      <c r="AD104" s="45">
        <v>32</v>
      </c>
      <c r="AE104" s="45">
        <v>2</v>
      </c>
      <c r="AF104" s="45">
        <v>1</v>
      </c>
      <c r="AG104" s="29">
        <f t="shared" si="17"/>
        <v>182</v>
      </c>
      <c r="AH104" s="45">
        <v>9</v>
      </c>
      <c r="AI104" s="45">
        <v>26</v>
      </c>
      <c r="AJ104" s="45">
        <v>2</v>
      </c>
      <c r="AK104" s="45">
        <v>1</v>
      </c>
      <c r="AL104" s="29">
        <f t="shared" ref="AL104:AL109" si="433">SUM(AH104:AK104)</f>
        <v>38</v>
      </c>
      <c r="AM104" s="45">
        <v>0</v>
      </c>
      <c r="AN104" s="45">
        <v>0</v>
      </c>
      <c r="AO104" s="45">
        <v>0</v>
      </c>
      <c r="AP104" s="45">
        <v>0</v>
      </c>
      <c r="AQ104" s="29">
        <f t="shared" ref="AQ104:AQ109" si="434">SUM(AM104:AP104)</f>
        <v>0</v>
      </c>
      <c r="AR104" s="29">
        <f t="shared" si="431"/>
        <v>410</v>
      </c>
      <c r="AS104" s="29">
        <f t="shared" si="432"/>
        <v>68.333333333333329</v>
      </c>
      <c r="AT104" s="46">
        <v>642</v>
      </c>
      <c r="AU104" s="46">
        <v>87</v>
      </c>
      <c r="AV104" s="46">
        <v>408</v>
      </c>
      <c r="AW104" s="46">
        <f>1042-344</f>
        <v>698</v>
      </c>
      <c r="AX104" s="31">
        <f>SUM(AT104:AW104)</f>
        <v>1835</v>
      </c>
      <c r="AY104" s="25"/>
      <c r="AZ104" s="25"/>
      <c r="BA104" s="25"/>
      <c r="BB104" s="31"/>
      <c r="BC104" s="31"/>
      <c r="BD104" s="44"/>
      <c r="BE104" s="47"/>
      <c r="BF104" s="48"/>
      <c r="BG104" s="48"/>
      <c r="BH104" s="32"/>
      <c r="BI104" s="48"/>
      <c r="BJ104" s="48"/>
      <c r="BK104" s="32"/>
      <c r="BL104" s="48"/>
      <c r="BM104" s="48"/>
      <c r="BN104" s="32"/>
      <c r="BO104" s="48"/>
      <c r="BP104" s="48"/>
      <c r="BQ104" s="32"/>
      <c r="BR104" s="57">
        <v>0</v>
      </c>
      <c r="BS104" s="57">
        <v>0</v>
      </c>
      <c r="BT104" s="57"/>
      <c r="BU104" s="35"/>
      <c r="BV104" s="31"/>
      <c r="BW104" s="31"/>
      <c r="BX104" s="44"/>
      <c r="BY104" s="88"/>
      <c r="BZ104" s="38"/>
      <c r="CA104" s="36"/>
      <c r="CB104" s="38"/>
      <c r="CC104" s="36"/>
      <c r="CD104" s="36"/>
      <c r="CE104" s="36"/>
      <c r="CF104" s="89"/>
      <c r="CG104" s="36"/>
      <c r="CH104" s="36"/>
      <c r="CI104" s="36"/>
      <c r="CJ104" s="36"/>
      <c r="CK104" s="36"/>
      <c r="CL104" s="37"/>
      <c r="CM104" s="37"/>
      <c r="CN104" s="38"/>
      <c r="CO104" s="38"/>
      <c r="CP104" s="327"/>
      <c r="CQ104" s="327"/>
      <c r="CS104" s="271"/>
      <c r="CT104" s="133"/>
      <c r="CU104" s="133"/>
      <c r="CV104" s="133"/>
      <c r="CW104" s="133"/>
      <c r="CX104" s="133"/>
      <c r="CY104" s="133"/>
      <c r="CZ104" s="133"/>
      <c r="DA104" s="133"/>
      <c r="DB104" s="133"/>
      <c r="DC104" s="133"/>
      <c r="DD104" s="133"/>
      <c r="DE104" s="273"/>
      <c r="DF104" s="273"/>
      <c r="DG104" s="273"/>
      <c r="DH104" s="132"/>
      <c r="DI104" s="132"/>
      <c r="DJ104" s="132"/>
      <c r="DK104" s="132"/>
      <c r="DL104" s="132"/>
      <c r="DM104" s="132"/>
      <c r="DN104" s="132"/>
      <c r="DO104" s="132"/>
      <c r="DP104" s="132"/>
      <c r="DQ104" s="132"/>
      <c r="DR104" s="132"/>
      <c r="DS104" s="132"/>
      <c r="DT104" s="276"/>
      <c r="DU104" s="276"/>
      <c r="DV104" s="276"/>
      <c r="DW104" s="279"/>
      <c r="DX104" s="279"/>
      <c r="DY104" s="279"/>
      <c r="DZ104" s="279"/>
      <c r="EA104" s="279"/>
      <c r="EB104" s="279"/>
      <c r="EC104" s="279"/>
      <c r="ED104" s="279"/>
      <c r="EE104" s="279"/>
      <c r="EF104" s="279"/>
      <c r="EG104" s="279"/>
      <c r="EH104" s="279"/>
      <c r="EI104" s="281"/>
      <c r="EJ104" s="281"/>
      <c r="EK104" s="295"/>
      <c r="EL104" s="343">
        <v>99.67</v>
      </c>
      <c r="EM104" s="343">
        <v>8.86</v>
      </c>
      <c r="EN104" s="343">
        <v>15.2</v>
      </c>
      <c r="EO104" s="116"/>
      <c r="EP104" s="116"/>
      <c r="EQ104" s="116"/>
      <c r="ER104" s="116"/>
      <c r="ES104" s="116"/>
      <c r="ET104" s="116"/>
      <c r="EU104" s="116"/>
      <c r="EV104" s="116"/>
      <c r="EW104" s="116"/>
      <c r="EX104" s="116"/>
      <c r="EY104" s="116"/>
      <c r="EZ104" s="116"/>
    </row>
    <row r="105" spans="1:156" ht="26.25" customHeight="1" x14ac:dyDescent="0.3">
      <c r="A105" s="43" t="s">
        <v>314</v>
      </c>
      <c r="B105" s="43" t="s">
        <v>271</v>
      </c>
      <c r="C105" s="1">
        <v>2009</v>
      </c>
      <c r="D105" s="52">
        <v>39</v>
      </c>
      <c r="E105" s="52">
        <v>26</v>
      </c>
      <c r="F105" s="52">
        <v>0</v>
      </c>
      <c r="G105" s="25">
        <f t="shared" si="423"/>
        <v>32.5</v>
      </c>
      <c r="H105" s="25">
        <f t="shared" si="424"/>
        <v>195</v>
      </c>
      <c r="I105" s="52">
        <f>62+169</f>
        <v>231</v>
      </c>
      <c r="J105" s="52">
        <f>31+41+6</f>
        <v>78</v>
      </c>
      <c r="K105" s="52">
        <v>0</v>
      </c>
      <c r="L105" s="25">
        <f t="shared" si="425"/>
        <v>116.5</v>
      </c>
      <c r="M105" s="25">
        <f t="shared" si="426"/>
        <v>699</v>
      </c>
      <c r="N105" s="25">
        <f t="shared" si="427"/>
        <v>149</v>
      </c>
      <c r="O105" s="25">
        <f t="shared" si="428"/>
        <v>894</v>
      </c>
      <c r="P105" s="26">
        <f t="shared" si="429"/>
        <v>0.21812080536912751</v>
      </c>
      <c r="Q105" s="26">
        <f t="shared" si="430"/>
        <v>0.2</v>
      </c>
      <c r="R105" s="26">
        <f t="shared" si="385"/>
        <v>0.8</v>
      </c>
      <c r="S105" s="26">
        <f t="shared" si="386"/>
        <v>0</v>
      </c>
      <c r="T105" s="207">
        <v>95</v>
      </c>
      <c r="U105" s="207">
        <v>0</v>
      </c>
      <c r="V105" s="225">
        <v>101</v>
      </c>
      <c r="W105" s="25">
        <f t="shared" si="383"/>
        <v>671</v>
      </c>
      <c r="X105" s="25">
        <f t="shared" ref="X105:X111" si="435">W105-W104</f>
        <v>-51</v>
      </c>
      <c r="Y105" s="25">
        <f t="shared" ref="Y105:Y110" si="436">+T105+U105+V105/6</f>
        <v>111.83333333333333</v>
      </c>
      <c r="Z105" s="25">
        <f t="shared" ref="Z105:Z111" si="437">Y105-Y104</f>
        <v>-8.5</v>
      </c>
      <c r="AA105" s="204">
        <f>+Z105/Y104</f>
        <v>-7.0637119113573413E-2</v>
      </c>
      <c r="AB105" s="44"/>
      <c r="AC105" s="45">
        <v>46</v>
      </c>
      <c r="AD105" s="45">
        <v>23</v>
      </c>
      <c r="AE105" s="45">
        <v>0</v>
      </c>
      <c r="AF105" s="45">
        <v>0</v>
      </c>
      <c r="AG105" s="29">
        <f t="shared" si="17"/>
        <v>69</v>
      </c>
      <c r="AH105" s="45">
        <v>22</v>
      </c>
      <c r="AI105" s="45">
        <v>26</v>
      </c>
      <c r="AJ105" s="45">
        <v>0</v>
      </c>
      <c r="AK105" s="45">
        <v>0</v>
      </c>
      <c r="AL105" s="29">
        <f t="shared" si="433"/>
        <v>48</v>
      </c>
      <c r="AM105" s="45">
        <v>0</v>
      </c>
      <c r="AN105" s="45">
        <v>0</v>
      </c>
      <c r="AO105" s="45">
        <v>0</v>
      </c>
      <c r="AP105" s="45">
        <v>0</v>
      </c>
      <c r="AQ105" s="29">
        <f t="shared" si="434"/>
        <v>0</v>
      </c>
      <c r="AR105" s="29">
        <f t="shared" si="431"/>
        <v>357</v>
      </c>
      <c r="AS105" s="29">
        <f t="shared" si="432"/>
        <v>59.5</v>
      </c>
      <c r="AT105" s="46">
        <v>184</v>
      </c>
      <c r="AU105" s="46">
        <v>0</v>
      </c>
      <c r="AV105" s="46">
        <v>206</v>
      </c>
      <c r="AW105" s="46">
        <f>807+9</f>
        <v>816</v>
      </c>
      <c r="AX105" s="31">
        <f t="shared" ref="AX105:AX111" si="438">SUM(AT105:AW105)</f>
        <v>1206</v>
      </c>
      <c r="AY105" s="25">
        <f t="shared" ref="AY105:AY110" si="439">SUM(AX103:AX105)</f>
        <v>4459</v>
      </c>
      <c r="AZ105" s="25">
        <f t="shared" ref="AZ105:AZ111" si="440">SUM(AS103:AS105)</f>
        <v>220.83333333333331</v>
      </c>
      <c r="BA105" s="25">
        <f t="shared" ref="BA105:BA111" si="441">SUM(AR103:AR105)</f>
        <v>1325</v>
      </c>
      <c r="BB105" s="31">
        <f t="shared" ref="BB105:BB110" si="442">AY105/AZ105</f>
        <v>20.191698113207551</v>
      </c>
      <c r="BC105" s="31">
        <f t="shared" ref="BC105:BC110" si="443">AY105/BA105</f>
        <v>3.3652830188679244</v>
      </c>
      <c r="BD105" s="44"/>
      <c r="BE105" s="47">
        <v>1805</v>
      </c>
      <c r="BF105" s="48"/>
      <c r="BG105" s="48">
        <v>255</v>
      </c>
      <c r="BH105" s="32">
        <f>IF(BG105=0,BF105*$BT105,BG105)</f>
        <v>255</v>
      </c>
      <c r="BI105" s="48">
        <v>1177</v>
      </c>
      <c r="BJ105" s="48"/>
      <c r="BK105" s="32">
        <f>IF(BJ105=0,BI105*$BT105,BJ105)</f>
        <v>256.7281879194631</v>
      </c>
      <c r="BL105" s="48"/>
      <c r="BM105" s="233">
        <v>0</v>
      </c>
      <c r="BN105" s="32">
        <f>IF(BM105=0,BL105*$BT105,BM105)</f>
        <v>0</v>
      </c>
      <c r="BO105" s="48">
        <v>366</v>
      </c>
      <c r="BP105" s="48"/>
      <c r="BQ105" s="32">
        <f>IF(BP105=0,BO105*$BT105,BP105)</f>
        <v>79.832214765100673</v>
      </c>
      <c r="BR105" s="48">
        <f>5665+1215</f>
        <v>6880</v>
      </c>
      <c r="BS105" s="48">
        <f t="shared" ref="BS105:BS110" si="444">+BR105</f>
        <v>6880</v>
      </c>
      <c r="BT105" s="201">
        <f t="shared" ref="BT105:BT111" si="445">+P105*BR105/BS105</f>
        <v>0.21812080536912751</v>
      </c>
      <c r="BU105" s="35">
        <f t="shared" ref="BU105:BU111" si="446">BQ105+BN105+BK105+BH105+BE105</f>
        <v>2396.560402684564</v>
      </c>
      <c r="BV105" s="31">
        <f t="shared" ref="BV105:BV111" si="447">BU105/G105</f>
        <v>73.740320082601968</v>
      </c>
      <c r="BW105" s="31">
        <f t="shared" ref="BW105:BW111" si="448">BU105/H105</f>
        <v>12.290053347100327</v>
      </c>
      <c r="BX105" s="44"/>
      <c r="BY105" s="90">
        <f t="shared" ref="BY105:BY111" si="449">BU105+AX105</f>
        <v>3602.560402684564</v>
      </c>
      <c r="BZ105" s="38">
        <f t="shared" ref="BZ105:BZ110" si="450">(BY105*0.1)</f>
        <v>360.25604026845645</v>
      </c>
      <c r="CA105" s="140">
        <f t="shared" ref="CA105:CA111" si="451">+BZ105/AX105</f>
        <v>0.29871976805012973</v>
      </c>
      <c r="CB105" s="38">
        <f t="shared" ref="CB105:CB111" si="452">BZ105/G105</f>
        <v>11.08480123902943</v>
      </c>
      <c r="CC105" s="38">
        <f t="shared" ref="CC105:CC111" si="453">BZ105/H105</f>
        <v>1.8474668731715715</v>
      </c>
      <c r="CD105" s="38">
        <f t="shared" ref="CD105:CD111" si="454">+$AX105/G105</f>
        <v>37.107692307692311</v>
      </c>
      <c r="CE105" s="38">
        <f t="shared" ref="CE105:CE111" si="455">+$AX105/H105</f>
        <v>6.1846153846153848</v>
      </c>
      <c r="CF105" s="38">
        <f t="shared" ref="CF105:CF111" si="456">BB105+BV105</f>
        <v>93.932018195809519</v>
      </c>
      <c r="CG105" s="38">
        <f t="shared" ref="CG105:CG110" si="457">CB105+CF105</f>
        <v>105.01681943483895</v>
      </c>
      <c r="CH105" s="38">
        <f t="shared" ref="CH105:CH110" si="458">CF105+CD105</f>
        <v>131.03971050350182</v>
      </c>
      <c r="CI105" s="38">
        <f t="shared" ref="CI105:CI111" si="459">+BC105+BW105</f>
        <v>15.655336365968251</v>
      </c>
      <c r="CJ105" s="38">
        <f t="shared" ref="CJ105:CJ110" si="460">+CI105+CC105</f>
        <v>17.502803239139823</v>
      </c>
      <c r="CK105" s="38">
        <f t="shared" ref="CK105:CK110" si="461">+CI105+CE105</f>
        <v>21.839951750583637</v>
      </c>
      <c r="CL105" s="37">
        <v>4</v>
      </c>
      <c r="CM105" s="38">
        <f t="shared" ref="CM105:CM111" si="462">+CF105/10</f>
        <v>9.3932018195809519</v>
      </c>
      <c r="CN105" s="38">
        <f t="shared" ref="CN105:CN111" si="463">+CM105*G105</f>
        <v>305.27905913638097</v>
      </c>
      <c r="CO105" s="145">
        <f t="shared" ref="CO105:CO111" si="464">+CN105/AX105</f>
        <v>0.25313354820595435</v>
      </c>
      <c r="CP105" s="62">
        <v>1437</v>
      </c>
      <c r="CQ105" s="327"/>
      <c r="CR105" s="225"/>
      <c r="CS105" s="271"/>
      <c r="CT105" s="133"/>
      <c r="CU105" s="133"/>
      <c r="CV105" s="133"/>
      <c r="CW105" s="133"/>
      <c r="CX105" s="133"/>
      <c r="CY105" s="133"/>
      <c r="CZ105" s="133"/>
      <c r="DA105" s="133"/>
      <c r="DB105" s="133"/>
      <c r="DC105" s="133"/>
      <c r="DD105" s="133"/>
      <c r="DE105" s="273"/>
      <c r="DF105" s="273"/>
      <c r="DG105" s="273"/>
      <c r="DH105" s="132"/>
      <c r="DI105" s="132"/>
      <c r="DJ105" s="132"/>
      <c r="DK105" s="132"/>
      <c r="DL105" s="132"/>
      <c r="DM105" s="132"/>
      <c r="DN105" s="132"/>
      <c r="DO105" s="132"/>
      <c r="DP105" s="132"/>
      <c r="DQ105" s="132"/>
      <c r="DR105" s="132"/>
      <c r="DS105" s="132"/>
      <c r="DT105" s="276"/>
      <c r="DU105" s="276"/>
      <c r="DV105" s="276"/>
      <c r="DW105" s="279"/>
      <c r="DX105" s="279"/>
      <c r="DY105" s="279"/>
      <c r="DZ105" s="279"/>
      <c r="EA105" s="279"/>
      <c r="EB105" s="279"/>
      <c r="EC105" s="279"/>
      <c r="ED105" s="279"/>
      <c r="EE105" s="279"/>
      <c r="EF105" s="279"/>
      <c r="EG105" s="279"/>
      <c r="EH105" s="279"/>
      <c r="EI105" s="282">
        <f>+EJ105*EK105</f>
        <v>0</v>
      </c>
      <c r="EJ105" s="281"/>
      <c r="EK105" s="295"/>
      <c r="EL105" s="343">
        <v>61.95</v>
      </c>
      <c r="EM105" s="343">
        <v>3.94</v>
      </c>
      <c r="EN105" s="343">
        <v>8.99</v>
      </c>
      <c r="EO105" s="116"/>
      <c r="EP105" s="116"/>
      <c r="EQ105" s="116"/>
      <c r="ER105" s="116"/>
      <c r="ES105" s="116"/>
      <c r="ET105" s="116"/>
      <c r="EU105" s="116"/>
      <c r="EV105" s="116"/>
      <c r="EW105" s="116"/>
      <c r="EX105" s="116"/>
      <c r="EY105" s="116"/>
      <c r="EZ105" s="116"/>
    </row>
    <row r="106" spans="1:156" ht="26.25" customHeight="1" x14ac:dyDescent="0.3">
      <c r="A106" s="43" t="s">
        <v>314</v>
      </c>
      <c r="B106" s="43" t="s">
        <v>271</v>
      </c>
      <c r="C106" s="1">
        <v>2010</v>
      </c>
      <c r="D106" s="52">
        <v>46</v>
      </c>
      <c r="E106" s="52">
        <v>32</v>
      </c>
      <c r="F106" s="52">
        <v>0</v>
      </c>
      <c r="G106" s="25">
        <f t="shared" si="423"/>
        <v>39.666666666666664</v>
      </c>
      <c r="H106" s="25">
        <f t="shared" si="424"/>
        <v>238</v>
      </c>
      <c r="I106" s="52">
        <f>54+163</f>
        <v>217</v>
      </c>
      <c r="J106" s="52">
        <f>34+41+5</f>
        <v>80</v>
      </c>
      <c r="K106" s="52">
        <v>0</v>
      </c>
      <c r="L106" s="25">
        <f t="shared" si="425"/>
        <v>116.16666666666666</v>
      </c>
      <c r="M106" s="25">
        <f t="shared" si="426"/>
        <v>697</v>
      </c>
      <c r="N106" s="25">
        <f t="shared" si="427"/>
        <v>155.83333333333331</v>
      </c>
      <c r="O106" s="25">
        <f t="shared" si="428"/>
        <v>935</v>
      </c>
      <c r="P106" s="26">
        <f t="shared" si="429"/>
        <v>0.25454545454545452</v>
      </c>
      <c r="Q106" s="26">
        <f t="shared" si="430"/>
        <v>0.19327731092436976</v>
      </c>
      <c r="R106" s="26">
        <f t="shared" si="385"/>
        <v>0.80672268907563027</v>
      </c>
      <c r="S106" s="26">
        <f t="shared" si="386"/>
        <v>0</v>
      </c>
      <c r="T106" s="207">
        <v>124</v>
      </c>
      <c r="U106">
        <v>0</v>
      </c>
      <c r="V106" s="207">
        <v>81</v>
      </c>
      <c r="W106" s="25">
        <f t="shared" si="383"/>
        <v>825</v>
      </c>
      <c r="X106" s="25">
        <f t="shared" si="435"/>
        <v>154</v>
      </c>
      <c r="Y106" s="25">
        <f t="shared" si="436"/>
        <v>137.5</v>
      </c>
      <c r="Z106" s="25">
        <f t="shared" si="437"/>
        <v>25.666666666666671</v>
      </c>
      <c r="AA106" s="204">
        <f t="shared" ref="AA106:AA111" si="465">+Z106/Y105</f>
        <v>0.22950819672131154</v>
      </c>
      <c r="AB106" s="44"/>
      <c r="AC106" s="45">
        <v>-7</v>
      </c>
      <c r="AD106" s="45">
        <v>14</v>
      </c>
      <c r="AE106" s="45">
        <v>13</v>
      </c>
      <c r="AF106" s="45">
        <v>0</v>
      </c>
      <c r="AG106" s="29">
        <f t="shared" si="17"/>
        <v>20</v>
      </c>
      <c r="AH106" s="45">
        <v>68</v>
      </c>
      <c r="AI106" s="45">
        <v>3</v>
      </c>
      <c r="AJ106" s="45">
        <v>16</v>
      </c>
      <c r="AK106" s="45">
        <v>0</v>
      </c>
      <c r="AL106" s="29">
        <f t="shared" si="433"/>
        <v>87</v>
      </c>
      <c r="AM106" s="45">
        <v>0</v>
      </c>
      <c r="AN106" s="45">
        <v>0</v>
      </c>
      <c r="AO106" s="45">
        <v>0</v>
      </c>
      <c r="AP106" s="45">
        <v>0</v>
      </c>
      <c r="AQ106" s="29">
        <f t="shared" si="434"/>
        <v>0</v>
      </c>
      <c r="AR106" s="29">
        <f t="shared" si="431"/>
        <v>542</v>
      </c>
      <c r="AS106" s="29">
        <f t="shared" si="432"/>
        <v>90.333333333333329</v>
      </c>
      <c r="AT106" s="46">
        <v>1849</v>
      </c>
      <c r="AU106" s="46">
        <v>443</v>
      </c>
      <c r="AV106" s="46">
        <v>185</v>
      </c>
      <c r="AW106" s="46">
        <f>1088-62</f>
        <v>1026</v>
      </c>
      <c r="AX106" s="31">
        <f t="shared" si="438"/>
        <v>3503</v>
      </c>
      <c r="AY106" s="25">
        <f t="shared" si="439"/>
        <v>6544</v>
      </c>
      <c r="AZ106" s="25">
        <f t="shared" si="440"/>
        <v>218.16666666666666</v>
      </c>
      <c r="BA106" s="25">
        <f t="shared" si="441"/>
        <v>1309</v>
      </c>
      <c r="BB106" s="31">
        <f t="shared" si="442"/>
        <v>29.995416348357526</v>
      </c>
      <c r="BC106" s="31">
        <f t="shared" si="443"/>
        <v>4.9992360580595872</v>
      </c>
      <c r="BD106" s="44"/>
      <c r="BE106" s="47">
        <v>589</v>
      </c>
      <c r="BF106" s="48"/>
      <c r="BG106" s="48">
        <v>161</v>
      </c>
      <c r="BH106" s="32">
        <f t="shared" ref="BH106:BH111" si="466">IF(BG106=0,BF106*$BT106,BG106)</f>
        <v>161</v>
      </c>
      <c r="BI106" s="48">
        <v>1450</v>
      </c>
      <c r="BJ106" s="48"/>
      <c r="BK106" s="32">
        <f t="shared" ref="BK106:BK111" si="467">IF(BJ106=0,BI106*$BT106,BJ106)</f>
        <v>369.09090909090907</v>
      </c>
      <c r="BL106" s="48"/>
      <c r="BM106" s="233">
        <v>0</v>
      </c>
      <c r="BN106" s="32">
        <f t="shared" ref="BN106:BN111" si="468">IF(BM106=0,BL106*$BT106,BM106)</f>
        <v>0</v>
      </c>
      <c r="BO106" s="48">
        <v>366</v>
      </c>
      <c r="BP106" s="48"/>
      <c r="BQ106" s="32">
        <f t="shared" ref="BQ106:BQ111" si="469">IF(BP106=0,BO106*$BT106,BP106)</f>
        <v>93.163636363636357</v>
      </c>
      <c r="BR106" s="48">
        <f>7235+1373</f>
        <v>8608</v>
      </c>
      <c r="BS106" s="48">
        <f t="shared" si="444"/>
        <v>8608</v>
      </c>
      <c r="BT106" s="201">
        <f t="shared" si="445"/>
        <v>0.25454545454545452</v>
      </c>
      <c r="BU106" s="35">
        <f t="shared" si="446"/>
        <v>1212.2545454545455</v>
      </c>
      <c r="BV106" s="31">
        <f t="shared" si="447"/>
        <v>30.561038961038964</v>
      </c>
      <c r="BW106" s="31">
        <f t="shared" si="448"/>
        <v>5.0935064935064931</v>
      </c>
      <c r="BX106" s="44"/>
      <c r="BY106" s="90">
        <f t="shared" si="449"/>
        <v>4715.2545454545452</v>
      </c>
      <c r="BZ106" s="38">
        <f t="shared" si="450"/>
        <v>471.52545454545452</v>
      </c>
      <c r="CA106" s="140">
        <f t="shared" si="451"/>
        <v>0.13460618171437469</v>
      </c>
      <c r="CB106" s="38">
        <f t="shared" si="452"/>
        <v>11.887196333078686</v>
      </c>
      <c r="CC106" s="38">
        <f t="shared" si="453"/>
        <v>1.9811993888464476</v>
      </c>
      <c r="CD106" s="38">
        <f t="shared" si="454"/>
        <v>88.310924369747909</v>
      </c>
      <c r="CE106" s="38">
        <f t="shared" si="455"/>
        <v>14.718487394957982</v>
      </c>
      <c r="CF106" s="38">
        <f t="shared" si="456"/>
        <v>60.55645530939649</v>
      </c>
      <c r="CG106" s="38">
        <f t="shared" si="457"/>
        <v>72.443651642475174</v>
      </c>
      <c r="CH106" s="38">
        <f t="shared" si="458"/>
        <v>148.86737967914439</v>
      </c>
      <c r="CI106" s="38">
        <f t="shared" si="459"/>
        <v>10.092742551566079</v>
      </c>
      <c r="CJ106" s="38">
        <f t="shared" si="460"/>
        <v>12.073941940412528</v>
      </c>
      <c r="CK106" s="38">
        <f t="shared" si="461"/>
        <v>24.811229946524062</v>
      </c>
      <c r="CL106" s="37">
        <v>4</v>
      </c>
      <c r="CM106" s="38">
        <f t="shared" si="462"/>
        <v>6.0556455309396489</v>
      </c>
      <c r="CN106" s="38">
        <f t="shared" si="463"/>
        <v>240.20727272727274</v>
      </c>
      <c r="CO106" s="145">
        <f t="shared" si="464"/>
        <v>6.8571873459112975E-2</v>
      </c>
      <c r="CP106" s="63">
        <v>1783</v>
      </c>
      <c r="CQ106" s="327"/>
      <c r="CR106" s="225"/>
      <c r="CS106" s="271"/>
      <c r="CT106" s="133"/>
      <c r="CU106" s="133"/>
      <c r="CV106" s="133"/>
      <c r="CW106" s="133"/>
      <c r="CX106" s="133"/>
      <c r="CY106" s="133"/>
      <c r="CZ106" s="133"/>
      <c r="DA106" s="133"/>
      <c r="DB106" s="133"/>
      <c r="DC106" s="133"/>
      <c r="DD106" s="133"/>
      <c r="DE106" s="273"/>
      <c r="DF106" s="273"/>
      <c r="DG106" s="273"/>
      <c r="DH106" s="132"/>
      <c r="DI106" s="132"/>
      <c r="DJ106" s="132"/>
      <c r="DK106" s="132"/>
      <c r="DL106" s="132"/>
      <c r="DM106" s="132"/>
      <c r="DN106" s="132"/>
      <c r="DO106" s="132"/>
      <c r="DP106" s="132"/>
      <c r="DQ106" s="132"/>
      <c r="DR106" s="132"/>
      <c r="DS106" s="132"/>
      <c r="DT106" s="276"/>
      <c r="DU106" s="276"/>
      <c r="DV106" s="276"/>
      <c r="DW106" s="279"/>
      <c r="DX106" s="279"/>
      <c r="DY106" s="279"/>
      <c r="DZ106" s="279"/>
      <c r="EA106" s="279"/>
      <c r="EB106" s="279"/>
      <c r="EC106" s="279"/>
      <c r="ED106" s="279"/>
      <c r="EE106" s="279"/>
      <c r="EF106" s="279"/>
      <c r="EG106" s="279"/>
      <c r="EH106" s="279"/>
      <c r="EI106" s="282">
        <f>+EJ106*EK106</f>
        <v>0</v>
      </c>
      <c r="EJ106" s="281"/>
      <c r="EK106" s="295"/>
      <c r="EL106" s="343">
        <v>79.48</v>
      </c>
      <c r="EM106" s="343">
        <v>4.37</v>
      </c>
      <c r="EN106" s="343">
        <v>11.83</v>
      </c>
      <c r="EO106" s="116"/>
      <c r="EP106" s="116"/>
      <c r="EQ106" s="116"/>
      <c r="ER106" s="116"/>
      <c r="ES106" s="116"/>
      <c r="ET106" s="116"/>
      <c r="EU106" s="116"/>
      <c r="EV106" s="116"/>
      <c r="EW106" s="116"/>
      <c r="EX106" s="116"/>
      <c r="EY106" s="116"/>
      <c r="EZ106" s="116"/>
    </row>
    <row r="107" spans="1:156" ht="26.25" customHeight="1" x14ac:dyDescent="0.3">
      <c r="A107" s="43" t="s">
        <v>314</v>
      </c>
      <c r="B107" s="43" t="s">
        <v>271</v>
      </c>
      <c r="C107" s="1">
        <v>2011</v>
      </c>
      <c r="D107" s="52">
        <v>42</v>
      </c>
      <c r="E107" s="52">
        <v>34</v>
      </c>
      <c r="F107" s="52">
        <v>0</v>
      </c>
      <c r="G107" s="25">
        <f t="shared" si="423"/>
        <v>41</v>
      </c>
      <c r="H107" s="25">
        <f t="shared" si="424"/>
        <v>246</v>
      </c>
      <c r="I107" s="52">
        <f>34+168</f>
        <v>202</v>
      </c>
      <c r="J107" s="52">
        <f>34+24+5</f>
        <v>63</v>
      </c>
      <c r="K107" s="52">
        <v>0</v>
      </c>
      <c r="L107" s="25">
        <f t="shared" si="425"/>
        <v>96.666666666666657</v>
      </c>
      <c r="M107" s="25">
        <f t="shared" si="426"/>
        <v>580</v>
      </c>
      <c r="N107" s="25">
        <f t="shared" si="427"/>
        <v>137.66666666666666</v>
      </c>
      <c r="O107" s="25">
        <f t="shared" si="428"/>
        <v>826</v>
      </c>
      <c r="P107" s="26">
        <f t="shared" si="429"/>
        <v>0.29782082324455206</v>
      </c>
      <c r="Q107" s="26">
        <f t="shared" si="430"/>
        <v>0.17073170731707318</v>
      </c>
      <c r="R107" s="26">
        <f t="shared" si="385"/>
        <v>0.82926829268292679</v>
      </c>
      <c r="S107" s="26">
        <f t="shared" si="386"/>
        <v>0</v>
      </c>
      <c r="T107" s="207">
        <v>183</v>
      </c>
      <c r="U107">
        <v>0</v>
      </c>
      <c r="V107" s="207">
        <v>161</v>
      </c>
      <c r="W107" s="25">
        <f t="shared" si="383"/>
        <v>1259</v>
      </c>
      <c r="X107" s="25">
        <f t="shared" si="435"/>
        <v>434</v>
      </c>
      <c r="Y107" s="25">
        <f t="shared" si="436"/>
        <v>209.83333333333334</v>
      </c>
      <c r="Z107" s="25">
        <f t="shared" si="437"/>
        <v>72.333333333333343</v>
      </c>
      <c r="AA107" s="204">
        <f t="shared" si="465"/>
        <v>0.52606060606060612</v>
      </c>
      <c r="AB107" s="44"/>
      <c r="AC107" s="45">
        <v>36</v>
      </c>
      <c r="AD107" s="45">
        <v>85</v>
      </c>
      <c r="AE107" s="45">
        <v>1</v>
      </c>
      <c r="AF107" s="45">
        <v>0</v>
      </c>
      <c r="AG107" s="29">
        <f t="shared" si="17"/>
        <v>122</v>
      </c>
      <c r="AH107" s="45">
        <v>33</v>
      </c>
      <c r="AI107" s="45">
        <v>70</v>
      </c>
      <c r="AJ107" s="45">
        <v>0</v>
      </c>
      <c r="AK107" s="45">
        <v>0</v>
      </c>
      <c r="AL107" s="29">
        <f t="shared" si="433"/>
        <v>103</v>
      </c>
      <c r="AM107" s="45">
        <v>0</v>
      </c>
      <c r="AN107" s="45">
        <v>0</v>
      </c>
      <c r="AO107" s="45">
        <v>0</v>
      </c>
      <c r="AP107" s="45">
        <v>0</v>
      </c>
      <c r="AQ107" s="29">
        <f t="shared" si="434"/>
        <v>0</v>
      </c>
      <c r="AR107" s="29">
        <f t="shared" si="431"/>
        <v>740</v>
      </c>
      <c r="AS107" s="29">
        <f t="shared" si="432"/>
        <v>123.33333333333333</v>
      </c>
      <c r="AT107" s="46">
        <v>992</v>
      </c>
      <c r="AU107" s="46">
        <v>6</v>
      </c>
      <c r="AV107" s="267">
        <f>525-432</f>
        <v>93</v>
      </c>
      <c r="AW107" s="46">
        <f>2951-972</f>
        <v>1979</v>
      </c>
      <c r="AX107" s="31">
        <f t="shared" si="438"/>
        <v>3070</v>
      </c>
      <c r="AY107" s="25">
        <f t="shared" si="439"/>
        <v>7779</v>
      </c>
      <c r="AZ107" s="25">
        <f t="shared" si="440"/>
        <v>273.16666666666663</v>
      </c>
      <c r="BA107" s="25">
        <f t="shared" si="441"/>
        <v>1639</v>
      </c>
      <c r="BB107" s="31">
        <f t="shared" si="442"/>
        <v>28.477120195241003</v>
      </c>
      <c r="BC107" s="31">
        <f t="shared" si="443"/>
        <v>4.7461866992068336</v>
      </c>
      <c r="BD107" s="44"/>
      <c r="BE107" s="47">
        <v>531</v>
      </c>
      <c r="BF107" s="48"/>
      <c r="BG107" s="48">
        <v>190</v>
      </c>
      <c r="BH107" s="32">
        <f t="shared" si="466"/>
        <v>190</v>
      </c>
      <c r="BI107" s="48">
        <v>1384</v>
      </c>
      <c r="BJ107" s="48"/>
      <c r="BK107" s="32">
        <f t="shared" si="467"/>
        <v>412.18401937046002</v>
      </c>
      <c r="BL107" s="48"/>
      <c r="BM107" s="48">
        <v>129</v>
      </c>
      <c r="BN107" s="32">
        <f t="shared" si="468"/>
        <v>129</v>
      </c>
      <c r="BO107" s="48">
        <v>396</v>
      </c>
      <c r="BP107" s="48"/>
      <c r="BQ107" s="32">
        <f t="shared" si="469"/>
        <v>117.93704600484261</v>
      </c>
      <c r="BR107" s="235">
        <f>9224+1362</f>
        <v>10586</v>
      </c>
      <c r="BS107" s="48">
        <f t="shared" si="444"/>
        <v>10586</v>
      </c>
      <c r="BT107" s="201">
        <f t="shared" si="445"/>
        <v>0.29782082324455206</v>
      </c>
      <c r="BU107" s="35">
        <f t="shared" si="446"/>
        <v>1380.1210653753026</v>
      </c>
      <c r="BV107" s="31">
        <f t="shared" si="447"/>
        <v>33.661489399397624</v>
      </c>
      <c r="BW107" s="31">
        <f t="shared" si="448"/>
        <v>5.6102482332329373</v>
      </c>
      <c r="BX107" s="44"/>
      <c r="BY107" s="90">
        <f t="shared" si="449"/>
        <v>4450.1210653753024</v>
      </c>
      <c r="BZ107" s="38">
        <f t="shared" si="450"/>
        <v>445.01210653753026</v>
      </c>
      <c r="CA107" s="140">
        <f t="shared" si="451"/>
        <v>0.14495508356271344</v>
      </c>
      <c r="CB107" s="38">
        <f t="shared" si="452"/>
        <v>10.853953817988543</v>
      </c>
      <c r="CC107" s="38">
        <f t="shared" si="453"/>
        <v>1.8089923029980906</v>
      </c>
      <c r="CD107" s="38">
        <f t="shared" si="454"/>
        <v>74.878048780487802</v>
      </c>
      <c r="CE107" s="38">
        <f t="shared" si="455"/>
        <v>12.479674796747968</v>
      </c>
      <c r="CF107" s="38">
        <f t="shared" si="456"/>
        <v>62.138609594638623</v>
      </c>
      <c r="CG107" s="38">
        <f t="shared" si="457"/>
        <v>72.992563412627163</v>
      </c>
      <c r="CH107" s="38">
        <f t="shared" si="458"/>
        <v>137.01665837512644</v>
      </c>
      <c r="CI107" s="38">
        <f t="shared" si="459"/>
        <v>10.356434932439772</v>
      </c>
      <c r="CJ107" s="38">
        <f t="shared" si="460"/>
        <v>12.165427235437862</v>
      </c>
      <c r="CK107" s="38">
        <f t="shared" si="461"/>
        <v>22.83610972918774</v>
      </c>
      <c r="CL107" s="37">
        <v>4</v>
      </c>
      <c r="CM107" s="38">
        <f t="shared" si="462"/>
        <v>6.2138609594638625</v>
      </c>
      <c r="CN107" s="38">
        <f t="shared" si="463"/>
        <v>254.76829933801835</v>
      </c>
      <c r="CO107" s="145">
        <f t="shared" si="464"/>
        <v>8.2986416722481554E-2</v>
      </c>
      <c r="CP107" s="63">
        <v>2022</v>
      </c>
      <c r="CQ107" s="327"/>
      <c r="CR107" s="225"/>
      <c r="CS107" s="271"/>
      <c r="CT107" s="133"/>
      <c r="CU107" s="133"/>
      <c r="CV107" s="133"/>
      <c r="CW107" s="133"/>
      <c r="CX107" s="133"/>
      <c r="CY107" s="133"/>
      <c r="CZ107" s="133"/>
      <c r="DA107" s="133"/>
      <c r="DB107" s="133"/>
      <c r="DC107" s="133"/>
      <c r="DD107" s="133"/>
      <c r="DE107" s="274"/>
      <c r="DF107" s="273"/>
      <c r="DG107" s="273"/>
      <c r="DH107" s="132"/>
      <c r="DI107" s="132"/>
      <c r="DJ107" s="132"/>
      <c r="DK107" s="132"/>
      <c r="DL107" s="132"/>
      <c r="DM107" s="132"/>
      <c r="DN107" s="132"/>
      <c r="DO107" s="132"/>
      <c r="DP107" s="132"/>
      <c r="DQ107" s="132"/>
      <c r="DR107" s="132"/>
      <c r="DS107" s="132"/>
      <c r="DT107" s="277"/>
      <c r="DU107" s="276"/>
      <c r="DV107" s="276"/>
      <c r="DW107" s="279"/>
      <c r="DX107" s="279"/>
      <c r="DY107" s="279"/>
      <c r="DZ107" s="279"/>
      <c r="EA107" s="279"/>
      <c r="EB107" s="279"/>
      <c r="EC107" s="279"/>
      <c r="ED107" s="279"/>
      <c r="EE107" s="279"/>
      <c r="EF107" s="279"/>
      <c r="EG107" s="279"/>
      <c r="EH107" s="279"/>
      <c r="EI107" s="282"/>
      <c r="EJ107" s="281"/>
      <c r="EK107" s="295"/>
      <c r="EL107" s="343">
        <v>94.88</v>
      </c>
      <c r="EM107" s="343">
        <v>4</v>
      </c>
      <c r="EN107" s="343">
        <v>15.12</v>
      </c>
      <c r="EO107" s="116"/>
      <c r="EP107" s="116"/>
      <c r="EQ107" s="116"/>
      <c r="ER107" s="116"/>
      <c r="ES107" s="116"/>
      <c r="ET107" s="116"/>
      <c r="EU107" s="116"/>
      <c r="EV107" s="116"/>
      <c r="EW107" s="116"/>
      <c r="EX107" s="116"/>
      <c r="EY107" s="116"/>
      <c r="EZ107" s="116"/>
    </row>
    <row r="108" spans="1:156" ht="26.25" customHeight="1" x14ac:dyDescent="0.3">
      <c r="A108" s="43" t="s">
        <v>314</v>
      </c>
      <c r="B108" s="43" t="s">
        <v>271</v>
      </c>
      <c r="C108" s="22">
        <v>2012</v>
      </c>
      <c r="D108" s="52">
        <v>50</v>
      </c>
      <c r="E108" s="52">
        <v>45</v>
      </c>
      <c r="F108" s="52">
        <v>0</v>
      </c>
      <c r="G108" s="25">
        <f t="shared" si="423"/>
        <v>53.333333333333336</v>
      </c>
      <c r="H108" s="25">
        <f t="shared" si="424"/>
        <v>320</v>
      </c>
      <c r="I108" s="52">
        <f>19+175</f>
        <v>194</v>
      </c>
      <c r="J108" s="52">
        <f>31+28+6</f>
        <v>65</v>
      </c>
      <c r="K108" s="52">
        <v>0</v>
      </c>
      <c r="L108" s="25">
        <f t="shared" si="425"/>
        <v>97.333333333333343</v>
      </c>
      <c r="M108" s="25">
        <f t="shared" si="426"/>
        <v>584</v>
      </c>
      <c r="N108" s="25">
        <f t="shared" si="427"/>
        <v>150.66666666666669</v>
      </c>
      <c r="O108" s="25">
        <f t="shared" si="428"/>
        <v>904</v>
      </c>
      <c r="P108" s="26">
        <f t="shared" si="429"/>
        <v>0.35398230088495575</v>
      </c>
      <c r="Q108" s="26">
        <f t="shared" si="430"/>
        <v>0.15625</v>
      </c>
      <c r="R108" s="26">
        <f t="shared" si="385"/>
        <v>0.84375</v>
      </c>
      <c r="S108" s="26">
        <f t="shared" si="386"/>
        <v>0</v>
      </c>
      <c r="T108" s="207">
        <v>193</v>
      </c>
      <c r="U108" s="207">
        <v>0</v>
      </c>
      <c r="V108" s="207">
        <v>168</v>
      </c>
      <c r="W108" s="25">
        <f t="shared" si="383"/>
        <v>1326</v>
      </c>
      <c r="X108" s="25">
        <f t="shared" si="435"/>
        <v>67</v>
      </c>
      <c r="Y108" s="25">
        <f t="shared" si="436"/>
        <v>221</v>
      </c>
      <c r="Z108" s="25">
        <f t="shared" si="437"/>
        <v>11.166666666666657</v>
      </c>
      <c r="AA108" s="204">
        <f t="shared" si="465"/>
        <v>5.3216838760921321E-2</v>
      </c>
      <c r="AB108" s="44"/>
      <c r="AC108" s="45">
        <v>10</v>
      </c>
      <c r="AD108" s="45">
        <v>76</v>
      </c>
      <c r="AE108" s="45">
        <v>0</v>
      </c>
      <c r="AF108" s="45">
        <v>4</v>
      </c>
      <c r="AG108" s="29">
        <f t="shared" si="17"/>
        <v>90</v>
      </c>
      <c r="AH108" s="45">
        <v>32</v>
      </c>
      <c r="AI108" s="45">
        <v>108</v>
      </c>
      <c r="AJ108" s="45">
        <v>0</v>
      </c>
      <c r="AK108" s="45">
        <v>7</v>
      </c>
      <c r="AL108" s="29">
        <f t="shared" si="433"/>
        <v>147</v>
      </c>
      <c r="AM108" s="45">
        <v>0</v>
      </c>
      <c r="AN108" s="45">
        <v>0</v>
      </c>
      <c r="AO108" s="45">
        <v>0</v>
      </c>
      <c r="AP108" s="45">
        <v>0</v>
      </c>
      <c r="AQ108" s="29">
        <f t="shared" si="434"/>
        <v>0</v>
      </c>
      <c r="AR108" s="29">
        <f t="shared" si="431"/>
        <v>972</v>
      </c>
      <c r="AS108" s="29">
        <f t="shared" si="432"/>
        <v>162</v>
      </c>
      <c r="AT108" s="46">
        <v>179</v>
      </c>
      <c r="AU108" s="46">
        <v>0</v>
      </c>
      <c r="AV108" s="267">
        <f>405-319</f>
        <v>86</v>
      </c>
      <c r="AW108" s="46">
        <f>4236-715</f>
        <v>3521</v>
      </c>
      <c r="AX108" s="31">
        <f t="shared" si="438"/>
        <v>3786</v>
      </c>
      <c r="AY108" s="25">
        <f t="shared" si="439"/>
        <v>10359</v>
      </c>
      <c r="AZ108" s="25">
        <f t="shared" si="440"/>
        <v>375.66666666666663</v>
      </c>
      <c r="BA108" s="25">
        <f t="shared" si="441"/>
        <v>2254</v>
      </c>
      <c r="BB108" s="31">
        <f t="shared" si="442"/>
        <v>27.574977817213846</v>
      </c>
      <c r="BC108" s="31">
        <f t="shared" si="443"/>
        <v>4.595829636202307</v>
      </c>
      <c r="BD108" s="44"/>
      <c r="BE108" s="47">
        <v>758</v>
      </c>
      <c r="BF108" s="48"/>
      <c r="BG108" s="48">
        <v>196</v>
      </c>
      <c r="BH108" s="32">
        <f t="shared" si="466"/>
        <v>196</v>
      </c>
      <c r="BI108" s="48">
        <v>1822</v>
      </c>
      <c r="BJ108" s="48"/>
      <c r="BK108" s="32">
        <f t="shared" si="467"/>
        <v>644.95575221238937</v>
      </c>
      <c r="BL108" s="48"/>
      <c r="BM108" s="48">
        <v>199</v>
      </c>
      <c r="BN108" s="32">
        <f t="shared" si="468"/>
        <v>199</v>
      </c>
      <c r="BO108" s="48">
        <v>447</v>
      </c>
      <c r="BP108" s="48"/>
      <c r="BQ108" s="32">
        <f t="shared" si="469"/>
        <v>158.23008849557522</v>
      </c>
      <c r="BR108" s="235">
        <f>10802+1394</f>
        <v>12196</v>
      </c>
      <c r="BS108" s="48">
        <f t="shared" si="444"/>
        <v>12196</v>
      </c>
      <c r="BT108" s="201">
        <f t="shared" si="445"/>
        <v>0.35398230088495575</v>
      </c>
      <c r="BU108" s="35">
        <f t="shared" si="446"/>
        <v>1956.1858407079646</v>
      </c>
      <c r="BV108" s="31">
        <f t="shared" si="447"/>
        <v>36.678484513274334</v>
      </c>
      <c r="BW108" s="31">
        <f t="shared" si="448"/>
        <v>6.1130807522123893</v>
      </c>
      <c r="BX108" s="44"/>
      <c r="BY108" s="90">
        <f t="shared" si="449"/>
        <v>5742.1858407079644</v>
      </c>
      <c r="BZ108" s="38">
        <f t="shared" si="450"/>
        <v>574.21858407079651</v>
      </c>
      <c r="CA108" s="140">
        <f t="shared" si="451"/>
        <v>0.1516689339859473</v>
      </c>
      <c r="CB108" s="38">
        <f t="shared" si="452"/>
        <v>10.766598451327434</v>
      </c>
      <c r="CC108" s="38">
        <f t="shared" si="453"/>
        <v>1.7944330752212392</v>
      </c>
      <c r="CD108" s="38">
        <f t="shared" si="454"/>
        <v>70.987499999999997</v>
      </c>
      <c r="CE108" s="38">
        <f t="shared" si="455"/>
        <v>11.831250000000001</v>
      </c>
      <c r="CF108" s="38">
        <f t="shared" si="456"/>
        <v>64.253462330488176</v>
      </c>
      <c r="CG108" s="38">
        <f t="shared" si="457"/>
        <v>75.020060781815616</v>
      </c>
      <c r="CH108" s="38">
        <f t="shared" si="458"/>
        <v>135.24096233048817</v>
      </c>
      <c r="CI108" s="38">
        <f t="shared" si="459"/>
        <v>10.708910388414697</v>
      </c>
      <c r="CJ108" s="38">
        <f t="shared" si="460"/>
        <v>12.503343463635936</v>
      </c>
      <c r="CK108" s="38">
        <f t="shared" si="461"/>
        <v>22.540160388414698</v>
      </c>
      <c r="CL108" s="37">
        <v>4</v>
      </c>
      <c r="CM108" s="38">
        <f t="shared" si="462"/>
        <v>6.4253462330488178</v>
      </c>
      <c r="CN108" s="38">
        <f t="shared" si="463"/>
        <v>342.68513242927031</v>
      </c>
      <c r="CO108" s="145">
        <f t="shared" si="464"/>
        <v>9.0513769791143769E-2</v>
      </c>
      <c r="CP108" s="63">
        <v>2259</v>
      </c>
      <c r="CQ108" s="327"/>
      <c r="CR108" s="225"/>
      <c r="CS108" s="269">
        <f>+CT108*CU108</f>
        <v>15.96875</v>
      </c>
      <c r="CT108" s="269">
        <f>0.1*91.25</f>
        <v>9.125</v>
      </c>
      <c r="CU108" s="133">
        <v>1.75</v>
      </c>
      <c r="CV108" s="269">
        <f>+CW108*CX108</f>
        <v>17.113937499999999</v>
      </c>
      <c r="CW108" s="269">
        <f>0.121*91.25</f>
        <v>11.04125</v>
      </c>
      <c r="CX108" s="133">
        <v>1.55</v>
      </c>
      <c r="CY108" s="269">
        <f>+CZ108*DA108</f>
        <v>23.075300000000002</v>
      </c>
      <c r="CZ108" s="269">
        <f>0.116*91.25</f>
        <v>10.585000000000001</v>
      </c>
      <c r="DA108" s="133">
        <v>2.1800000000000002</v>
      </c>
      <c r="DB108" s="269">
        <f t="shared" ref="DB108:DC112" si="470">+DE108-CS108-CV108-CY108</f>
        <v>34.621162499999983</v>
      </c>
      <c r="DC108" s="269">
        <f t="shared" si="470"/>
        <v>12.683749999999996</v>
      </c>
      <c r="DD108" s="133">
        <f>+DB108/DC108</f>
        <v>2.7295683453237403</v>
      </c>
      <c r="DE108" s="274">
        <f>+DF108*DG108</f>
        <v>90.779149999999987</v>
      </c>
      <c r="DF108" s="274">
        <f>0.119*365</f>
        <v>43.434999999999995</v>
      </c>
      <c r="DG108" s="273">
        <v>2.09</v>
      </c>
      <c r="DH108" s="272">
        <f>+DI108*DJ108</f>
        <v>831.50649999999996</v>
      </c>
      <c r="DI108" s="272">
        <f>0.095*91.25</f>
        <v>8.6687499999999993</v>
      </c>
      <c r="DJ108" s="296">
        <v>95.92</v>
      </c>
      <c r="DK108" s="272">
        <f>+DL108*DM108</f>
        <v>914.75661249999996</v>
      </c>
      <c r="DL108" s="272">
        <f>0.109*91.25</f>
        <v>9.9462499999999991</v>
      </c>
      <c r="DM108" s="296">
        <v>91.97</v>
      </c>
      <c r="DN108" s="272">
        <f>+DO108*DP108</f>
        <v>896.85336249999989</v>
      </c>
      <c r="DO108" s="272">
        <f>0.109*91.25</f>
        <v>9.9462499999999991</v>
      </c>
      <c r="DP108" s="296">
        <v>90.17</v>
      </c>
      <c r="DQ108" s="272">
        <f t="shared" ref="DQ108:DR112" si="471">+DT108-DN108-DK108-DH108</f>
        <v>1114.3979250000002</v>
      </c>
      <c r="DR108" s="272">
        <f t="shared" si="471"/>
        <v>10.858750000000004</v>
      </c>
      <c r="DS108" s="296">
        <f>+DQ108/DR108</f>
        <v>102.62672268907561</v>
      </c>
      <c r="DT108" s="277">
        <f>+DU108*DV108</f>
        <v>3757.5144</v>
      </c>
      <c r="DU108" s="277">
        <f>0.108*365</f>
        <v>39.42</v>
      </c>
      <c r="DV108" s="297">
        <v>95.32</v>
      </c>
      <c r="DW108" s="99">
        <f>+DX108*DY108</f>
        <v>62.929650000000002</v>
      </c>
      <c r="DX108" s="99">
        <f>0.014*91.25</f>
        <v>1.2775000000000001</v>
      </c>
      <c r="DY108" s="298">
        <v>49.26</v>
      </c>
      <c r="DZ108" s="99">
        <f>+EA108*EB108</f>
        <v>55.776562499999997</v>
      </c>
      <c r="EA108" s="99">
        <f>0.015*91.25</f>
        <v>1.3687499999999999</v>
      </c>
      <c r="EB108" s="298">
        <v>40.75</v>
      </c>
      <c r="EC108" s="99">
        <f>+ED108*EE108</f>
        <v>55.991</v>
      </c>
      <c r="ED108" s="99">
        <f>0.016*91.25</f>
        <v>1.46</v>
      </c>
      <c r="EE108" s="298">
        <v>38.35</v>
      </c>
      <c r="EF108" s="99">
        <f t="shared" ref="EF108:EG112" si="472">+EI108-EC108-DZ108-DW108</f>
        <v>63.282787499999976</v>
      </c>
      <c r="EG108" s="99">
        <f t="shared" si="472"/>
        <v>1.7337499999999999</v>
      </c>
      <c r="EH108" s="298">
        <f>+EF108/EG108</f>
        <v>36.500526315789465</v>
      </c>
      <c r="EI108" s="282">
        <f>+EJ108*EK108</f>
        <v>237.98</v>
      </c>
      <c r="EJ108" s="282">
        <f>0.016*365</f>
        <v>5.84</v>
      </c>
      <c r="EK108" s="299">
        <v>40.75</v>
      </c>
      <c r="EL108" s="344">
        <v>94.05</v>
      </c>
      <c r="EM108" s="344">
        <v>2.75</v>
      </c>
      <c r="EN108" s="344">
        <v>10.98</v>
      </c>
      <c r="EO108" s="74">
        <v>2.41</v>
      </c>
      <c r="EP108" s="74">
        <v>2.2799999999999998</v>
      </c>
      <c r="EQ108" s="74">
        <v>2.88</v>
      </c>
      <c r="ER108" s="74">
        <v>3.4</v>
      </c>
      <c r="ES108" s="74">
        <v>13.14</v>
      </c>
      <c r="ET108" s="74">
        <v>10.75</v>
      </c>
      <c r="EU108" s="74">
        <v>9.9600000000000009</v>
      </c>
      <c r="EV108" s="74">
        <v>10.08</v>
      </c>
      <c r="EW108" s="74">
        <v>102.98</v>
      </c>
      <c r="EX108" s="74">
        <v>93.29</v>
      </c>
      <c r="EY108" s="74">
        <v>92.17</v>
      </c>
      <c r="EZ108" s="74">
        <v>88.01</v>
      </c>
    </row>
    <row r="109" spans="1:156" ht="26.25" customHeight="1" x14ac:dyDescent="0.3">
      <c r="A109" s="43" t="s">
        <v>314</v>
      </c>
      <c r="B109" s="43" t="s">
        <v>271</v>
      </c>
      <c r="C109" s="53">
        <v>2013</v>
      </c>
      <c r="D109" s="52">
        <v>51</v>
      </c>
      <c r="E109" s="52">
        <v>45</v>
      </c>
      <c r="F109" s="52">
        <v>0</v>
      </c>
      <c r="G109" s="52">
        <f t="shared" si="423"/>
        <v>53.5</v>
      </c>
      <c r="H109" s="52">
        <f t="shared" si="424"/>
        <v>321</v>
      </c>
      <c r="I109" s="52">
        <f>10+159</f>
        <v>169</v>
      </c>
      <c r="J109" s="52">
        <f>16+22+5</f>
        <v>43</v>
      </c>
      <c r="K109" s="52">
        <v>0</v>
      </c>
      <c r="L109" s="52">
        <f t="shared" si="425"/>
        <v>71.166666666666671</v>
      </c>
      <c r="M109" s="52">
        <f t="shared" si="426"/>
        <v>427</v>
      </c>
      <c r="N109" s="52">
        <f t="shared" si="427"/>
        <v>124.66666666666667</v>
      </c>
      <c r="O109" s="52">
        <f t="shared" si="428"/>
        <v>748</v>
      </c>
      <c r="P109" s="54">
        <f t="shared" si="429"/>
        <v>0.42914438502673796</v>
      </c>
      <c r="Q109" s="54">
        <f t="shared" si="430"/>
        <v>0.15887850467289719</v>
      </c>
      <c r="R109" s="54">
        <f t="shared" si="385"/>
        <v>0.84112149532710279</v>
      </c>
      <c r="S109" s="54">
        <f t="shared" si="386"/>
        <v>0</v>
      </c>
      <c r="T109" s="208">
        <v>242</v>
      </c>
      <c r="U109" s="208">
        <v>62</v>
      </c>
      <c r="V109" s="208">
        <v>185</v>
      </c>
      <c r="W109" s="52">
        <f t="shared" si="383"/>
        <v>2009</v>
      </c>
      <c r="X109" s="52">
        <f t="shared" si="435"/>
        <v>683</v>
      </c>
      <c r="Y109" s="52">
        <f t="shared" si="436"/>
        <v>334.83333333333331</v>
      </c>
      <c r="Z109" s="52">
        <f t="shared" si="437"/>
        <v>113.83333333333331</v>
      </c>
      <c r="AA109" s="205">
        <f t="shared" si="465"/>
        <v>0.51508295625942679</v>
      </c>
      <c r="AB109" s="44"/>
      <c r="AC109" s="45">
        <v>-12</v>
      </c>
      <c r="AD109" s="45">
        <v>131</v>
      </c>
      <c r="AE109" s="45">
        <v>0</v>
      </c>
      <c r="AF109" s="45">
        <v>0</v>
      </c>
      <c r="AG109" s="55">
        <f t="shared" si="17"/>
        <v>119</v>
      </c>
      <c r="AH109" s="45">
        <v>-55</v>
      </c>
      <c r="AI109" s="45">
        <v>211</v>
      </c>
      <c r="AJ109" s="45">
        <v>0</v>
      </c>
      <c r="AK109" s="45">
        <v>0</v>
      </c>
      <c r="AL109" s="55">
        <f t="shared" si="433"/>
        <v>156</v>
      </c>
      <c r="AM109" s="45">
        <v>0</v>
      </c>
      <c r="AN109" s="45">
        <v>0</v>
      </c>
      <c r="AO109" s="45">
        <v>0</v>
      </c>
      <c r="AP109" s="45">
        <v>0</v>
      </c>
      <c r="AQ109" s="55">
        <f t="shared" si="434"/>
        <v>0</v>
      </c>
      <c r="AR109" s="55">
        <f t="shared" si="431"/>
        <v>1055</v>
      </c>
      <c r="AS109" s="55">
        <f t="shared" si="432"/>
        <v>175.83333333333334</v>
      </c>
      <c r="AT109" s="46">
        <v>55</v>
      </c>
      <c r="AU109" s="46">
        <v>0</v>
      </c>
      <c r="AV109" s="267">
        <f>592-560</f>
        <v>32</v>
      </c>
      <c r="AW109" s="46">
        <f>2724-615</f>
        <v>2109</v>
      </c>
      <c r="AX109" s="50">
        <f t="shared" si="438"/>
        <v>2196</v>
      </c>
      <c r="AY109" s="52">
        <f t="shared" si="439"/>
        <v>9052</v>
      </c>
      <c r="AZ109" s="52">
        <f t="shared" si="440"/>
        <v>461.16666666666663</v>
      </c>
      <c r="BA109" s="52">
        <f t="shared" si="441"/>
        <v>2767</v>
      </c>
      <c r="BB109" s="50">
        <f t="shared" si="442"/>
        <v>19.628478496566679</v>
      </c>
      <c r="BC109" s="50">
        <f t="shared" si="443"/>
        <v>3.271413082761113</v>
      </c>
      <c r="BD109" s="44"/>
      <c r="BE109" s="47">
        <v>675</v>
      </c>
      <c r="BF109" s="48"/>
      <c r="BG109" s="48">
        <v>203</v>
      </c>
      <c r="BH109" s="47">
        <f t="shared" si="466"/>
        <v>203</v>
      </c>
      <c r="BI109" s="48">
        <v>1353</v>
      </c>
      <c r="BJ109" s="48"/>
      <c r="BK109" s="47">
        <f t="shared" si="467"/>
        <v>580.63235294117646</v>
      </c>
      <c r="BL109" s="48"/>
      <c r="BM109" s="48">
        <v>232</v>
      </c>
      <c r="BN109" s="47">
        <f t="shared" si="468"/>
        <v>232</v>
      </c>
      <c r="BO109" s="48">
        <v>466</v>
      </c>
      <c r="BP109" s="48"/>
      <c r="BQ109" s="47">
        <f t="shared" si="469"/>
        <v>199.98128342245988</v>
      </c>
      <c r="BR109" s="235">
        <f>10455+1394</f>
        <v>11849</v>
      </c>
      <c r="BS109" s="48">
        <f t="shared" si="444"/>
        <v>11849</v>
      </c>
      <c r="BT109" s="202">
        <f t="shared" si="445"/>
        <v>0.42914438502673796</v>
      </c>
      <c r="BU109" s="49">
        <f t="shared" si="446"/>
        <v>1890.6136363636365</v>
      </c>
      <c r="BV109" s="50">
        <f t="shared" si="447"/>
        <v>35.338572642310965</v>
      </c>
      <c r="BW109" s="50">
        <f t="shared" si="448"/>
        <v>5.8897621070518271</v>
      </c>
      <c r="BX109" s="44"/>
      <c r="BY109" s="91">
        <f t="shared" si="449"/>
        <v>4086.6136363636365</v>
      </c>
      <c r="BZ109" s="56">
        <f t="shared" si="450"/>
        <v>408.66136363636366</v>
      </c>
      <c r="CA109" s="141">
        <f t="shared" si="451"/>
        <v>0.18609351713859912</v>
      </c>
      <c r="CB109" s="56">
        <f t="shared" si="452"/>
        <v>7.638530161427358</v>
      </c>
      <c r="CC109" s="56">
        <f t="shared" si="453"/>
        <v>1.2730883602378931</v>
      </c>
      <c r="CD109" s="56">
        <f t="shared" si="454"/>
        <v>41.046728971962615</v>
      </c>
      <c r="CE109" s="56">
        <f t="shared" si="455"/>
        <v>6.8411214953271031</v>
      </c>
      <c r="CF109" s="56">
        <f t="shared" si="456"/>
        <v>54.967051138877643</v>
      </c>
      <c r="CG109" s="56">
        <f t="shared" si="457"/>
        <v>62.605581300305005</v>
      </c>
      <c r="CH109" s="56">
        <f t="shared" si="458"/>
        <v>96.013780110840258</v>
      </c>
      <c r="CI109" s="56">
        <f t="shared" si="459"/>
        <v>9.1611751898129405</v>
      </c>
      <c r="CJ109" s="38">
        <f t="shared" si="460"/>
        <v>10.434263550050833</v>
      </c>
      <c r="CK109" s="56">
        <f t="shared" si="461"/>
        <v>16.002296685140045</v>
      </c>
      <c r="CL109" s="51">
        <v>4</v>
      </c>
      <c r="CM109" s="56">
        <f t="shared" si="462"/>
        <v>5.4967051138877645</v>
      </c>
      <c r="CN109" s="56">
        <f t="shared" si="463"/>
        <v>294.07372359299541</v>
      </c>
      <c r="CO109" s="145">
        <f t="shared" si="464"/>
        <v>0.13391335318442413</v>
      </c>
      <c r="CP109" s="63">
        <v>2045</v>
      </c>
      <c r="CQ109" s="327"/>
      <c r="CR109" s="225"/>
      <c r="CS109" s="269">
        <f>+CT109*CU109</f>
        <v>32.6465125</v>
      </c>
      <c r="CT109" s="269">
        <f>0.133*91.25</f>
        <v>12.13625</v>
      </c>
      <c r="CU109" s="133">
        <v>2.69</v>
      </c>
      <c r="CV109" s="269">
        <f>+CW109*CX109</f>
        <v>40.914675000000003</v>
      </c>
      <c r="CW109" s="269">
        <f>0.141*91.25</f>
        <v>12.866249999999999</v>
      </c>
      <c r="CX109" s="133">
        <v>3.18</v>
      </c>
      <c r="CY109" s="269">
        <f>+CZ109*DA109</f>
        <v>27.904249999999998</v>
      </c>
      <c r="CZ109" s="269">
        <f>0.11*91.25</f>
        <v>10.0375</v>
      </c>
      <c r="DA109" s="133">
        <v>2.78</v>
      </c>
      <c r="DB109" s="269">
        <f t="shared" si="470"/>
        <v>32.504162499999985</v>
      </c>
      <c r="DC109" s="269">
        <f t="shared" si="470"/>
        <v>10.220000000000001</v>
      </c>
      <c r="DD109" s="133">
        <f>+DB109/DC109</f>
        <v>3.1804464285714271</v>
      </c>
      <c r="DE109" s="274">
        <f>+DF109*DG109</f>
        <v>133.96959999999999</v>
      </c>
      <c r="DF109" s="274">
        <f>0.124*365</f>
        <v>45.26</v>
      </c>
      <c r="DG109" s="273">
        <v>2.96</v>
      </c>
      <c r="DH109" s="272">
        <f>+DI109*DJ109</f>
        <v>1000.5005875000002</v>
      </c>
      <c r="DI109" s="272">
        <f>0.113*91.25</f>
        <v>10.311250000000001</v>
      </c>
      <c r="DJ109" s="296">
        <v>97.03</v>
      </c>
      <c r="DK109" s="272">
        <f>+DL109*DM109</f>
        <v>984.5145</v>
      </c>
      <c r="DL109" s="272">
        <f>0.111*91.25</f>
        <v>10.12875</v>
      </c>
      <c r="DM109" s="296">
        <v>97.2</v>
      </c>
      <c r="DN109" s="272">
        <f>+DO109*DP109</f>
        <v>937.99524999999994</v>
      </c>
      <c r="DO109" s="272">
        <f>0.103*91.25</f>
        <v>9.3987499999999997</v>
      </c>
      <c r="DP109" s="296">
        <v>99.8</v>
      </c>
      <c r="DQ109" s="272">
        <f t="shared" si="471"/>
        <v>841.59966250000002</v>
      </c>
      <c r="DR109" s="272">
        <f t="shared" si="471"/>
        <v>9.5812500000000007</v>
      </c>
      <c r="DS109" s="296">
        <f>+DQ109/DR109</f>
        <v>87.838190476190476</v>
      </c>
      <c r="DT109" s="277">
        <f>+DU109*DV109</f>
        <v>3764.61</v>
      </c>
      <c r="DU109" s="277">
        <f>0.108*365</f>
        <v>39.42</v>
      </c>
      <c r="DV109" s="297">
        <v>95.5</v>
      </c>
      <c r="DW109" s="99">
        <f>+DX109*DY109</f>
        <v>57.846112499999997</v>
      </c>
      <c r="DX109" s="99">
        <f>0.017*91.25</f>
        <v>1.55125</v>
      </c>
      <c r="DY109" s="298">
        <v>37.29</v>
      </c>
      <c r="DZ109" s="99">
        <f>+EA109*EB109</f>
        <v>50.472200000000001</v>
      </c>
      <c r="EA109" s="99">
        <f>0.016*91.25</f>
        <v>1.46</v>
      </c>
      <c r="EB109" s="298">
        <v>34.57</v>
      </c>
      <c r="EC109" s="99">
        <f>+ED109*EE109</f>
        <v>56.159812500000001</v>
      </c>
      <c r="ED109" s="99">
        <f>0.015*91.25</f>
        <v>1.3687499999999999</v>
      </c>
      <c r="EE109" s="298">
        <v>41.03</v>
      </c>
      <c r="EF109" s="99">
        <f t="shared" si="472"/>
        <v>43.955125000000002</v>
      </c>
      <c r="EG109" s="99">
        <f t="shared" si="472"/>
        <v>1.0949999999999993</v>
      </c>
      <c r="EH109" s="298">
        <f>+EF109/EG109</f>
        <v>40.141666666666694</v>
      </c>
      <c r="EI109" s="282">
        <f>+EJ109*EK109</f>
        <v>208.43324999999999</v>
      </c>
      <c r="EJ109" s="282">
        <f>0.015*365</f>
        <v>5.4749999999999996</v>
      </c>
      <c r="EK109" s="299">
        <v>38.07</v>
      </c>
      <c r="EL109" s="344">
        <v>97.98</v>
      </c>
      <c r="EM109" s="344">
        <v>3.73</v>
      </c>
      <c r="EN109" s="344">
        <v>9.94</v>
      </c>
      <c r="EO109" s="74">
        <v>3.49</v>
      </c>
      <c r="EP109" s="74">
        <v>4.01</v>
      </c>
      <c r="EQ109" s="74">
        <v>3.56</v>
      </c>
      <c r="ER109" s="74">
        <v>3.85</v>
      </c>
      <c r="ES109" s="74">
        <v>9.77</v>
      </c>
      <c r="ET109" s="74">
        <v>9.39</v>
      </c>
      <c r="EU109" s="74">
        <v>10.01</v>
      </c>
      <c r="EV109" s="74">
        <v>10.53</v>
      </c>
      <c r="EW109" s="74">
        <v>94.33</v>
      </c>
      <c r="EX109" s="74">
        <v>94.05</v>
      </c>
      <c r="EY109" s="74">
        <v>105.83</v>
      </c>
      <c r="EZ109" s="74">
        <v>97.44</v>
      </c>
    </row>
    <row r="110" spans="1:156" ht="26.25" customHeight="1" x14ac:dyDescent="0.3">
      <c r="A110" s="43" t="s">
        <v>314</v>
      </c>
      <c r="B110" s="43" t="s">
        <v>271</v>
      </c>
      <c r="C110" s="53">
        <v>2014</v>
      </c>
      <c r="D110" s="52">
        <v>66</v>
      </c>
      <c r="E110" s="52">
        <v>46</v>
      </c>
      <c r="F110" s="52">
        <v>8</v>
      </c>
      <c r="G110" s="52">
        <f t="shared" si="423"/>
        <v>65</v>
      </c>
      <c r="H110" s="52">
        <f t="shared" si="424"/>
        <v>390</v>
      </c>
      <c r="I110" s="52">
        <f>13+118</f>
        <v>131</v>
      </c>
      <c r="J110" s="52">
        <f>14+20+1</f>
        <v>35</v>
      </c>
      <c r="K110" s="52">
        <v>0</v>
      </c>
      <c r="L110" s="52">
        <f t="shared" si="425"/>
        <v>56.833333333333329</v>
      </c>
      <c r="M110" s="52">
        <f t="shared" si="426"/>
        <v>341</v>
      </c>
      <c r="N110" s="52">
        <f t="shared" si="427"/>
        <v>121.83333333333333</v>
      </c>
      <c r="O110" s="52">
        <f t="shared" si="428"/>
        <v>731</v>
      </c>
      <c r="P110" s="54">
        <f t="shared" si="429"/>
        <v>0.53351573187414503</v>
      </c>
      <c r="Q110" s="54">
        <f>D110/H110</f>
        <v>0.16923076923076924</v>
      </c>
      <c r="R110" s="54">
        <f t="shared" si="385"/>
        <v>0.70769230769230773</v>
      </c>
      <c r="S110" s="54">
        <f t="shared" si="386"/>
        <v>0.12307692307692308</v>
      </c>
      <c r="T110" s="208">
        <v>248</v>
      </c>
      <c r="U110" s="208">
        <v>63</v>
      </c>
      <c r="V110" s="208">
        <v>270</v>
      </c>
      <c r="W110" s="52">
        <f t="shared" si="383"/>
        <v>2136</v>
      </c>
      <c r="X110" s="52">
        <f t="shared" si="435"/>
        <v>127</v>
      </c>
      <c r="Y110" s="52">
        <f t="shared" si="436"/>
        <v>356</v>
      </c>
      <c r="Z110" s="52">
        <f t="shared" si="437"/>
        <v>21.166666666666686</v>
      </c>
      <c r="AA110" s="205">
        <f t="shared" si="465"/>
        <v>6.3215530114484872E-2</v>
      </c>
      <c r="AB110" s="44"/>
      <c r="AC110" s="45">
        <v>58</v>
      </c>
      <c r="AD110" s="45">
        <v>184</v>
      </c>
      <c r="AE110" s="45">
        <v>0</v>
      </c>
      <c r="AF110" s="45">
        <v>0</v>
      </c>
      <c r="AG110" s="55">
        <f>SUM(AC110:AF110)</f>
        <v>242</v>
      </c>
      <c r="AH110" s="45">
        <v>-26</v>
      </c>
      <c r="AI110" s="45">
        <v>115</v>
      </c>
      <c r="AJ110" s="45">
        <v>0</v>
      </c>
      <c r="AK110" s="45">
        <v>0</v>
      </c>
      <c r="AL110" s="55">
        <f>SUM(AH110:AK110)</f>
        <v>89</v>
      </c>
      <c r="AM110" s="45">
        <v>-8</v>
      </c>
      <c r="AN110" s="45">
        <v>22</v>
      </c>
      <c r="AO110" s="45">
        <v>0</v>
      </c>
      <c r="AP110" s="45">
        <v>0</v>
      </c>
      <c r="AQ110" s="55">
        <f>SUM(AM110:AP110)</f>
        <v>14</v>
      </c>
      <c r="AR110" s="55">
        <f t="shared" si="431"/>
        <v>860</v>
      </c>
      <c r="AS110" s="55">
        <f t="shared" si="432"/>
        <v>143.33333333333334</v>
      </c>
      <c r="AT110" s="46">
        <v>21</v>
      </c>
      <c r="AU110" s="46">
        <v>0</v>
      </c>
      <c r="AV110" s="267">
        <f>354-326</f>
        <v>28</v>
      </c>
      <c r="AW110" s="46">
        <f>2991-326</f>
        <v>2665</v>
      </c>
      <c r="AX110" s="50">
        <f t="shared" si="438"/>
        <v>2714</v>
      </c>
      <c r="AY110" s="52">
        <f t="shared" si="439"/>
        <v>8696</v>
      </c>
      <c r="AZ110" s="52">
        <f t="shared" si="440"/>
        <v>481.16666666666674</v>
      </c>
      <c r="BA110" s="52">
        <f t="shared" si="441"/>
        <v>2887</v>
      </c>
      <c r="BB110" s="50">
        <f t="shared" si="442"/>
        <v>18.072739868375475</v>
      </c>
      <c r="BC110" s="50">
        <f t="shared" si="443"/>
        <v>3.0121233113959125</v>
      </c>
      <c r="BD110" s="44"/>
      <c r="BE110" s="47">
        <v>731</v>
      </c>
      <c r="BF110" s="48"/>
      <c r="BG110" s="48">
        <f>270+212</f>
        <v>482</v>
      </c>
      <c r="BH110" s="47">
        <f t="shared" si="466"/>
        <v>482</v>
      </c>
      <c r="BI110" s="48">
        <v>455</v>
      </c>
      <c r="BJ110" s="48"/>
      <c r="BK110" s="47">
        <f t="shared" si="467"/>
        <v>242.749658002736</v>
      </c>
      <c r="BL110" s="48"/>
      <c r="BM110" s="48">
        <v>240</v>
      </c>
      <c r="BN110" s="47">
        <f t="shared" si="468"/>
        <v>240</v>
      </c>
      <c r="BO110" s="48">
        <v>397</v>
      </c>
      <c r="BP110" s="48"/>
      <c r="BQ110" s="47">
        <f t="shared" si="469"/>
        <v>211.80574555403558</v>
      </c>
      <c r="BR110" s="235">
        <f>9455+1247</f>
        <v>10702</v>
      </c>
      <c r="BS110" s="48">
        <f t="shared" si="444"/>
        <v>10702</v>
      </c>
      <c r="BT110" s="202">
        <f t="shared" si="445"/>
        <v>0.53351573187414503</v>
      </c>
      <c r="BU110" s="49">
        <f t="shared" si="446"/>
        <v>1907.5554035567716</v>
      </c>
      <c r="BV110" s="50">
        <f t="shared" si="447"/>
        <v>29.347006208565716</v>
      </c>
      <c r="BW110" s="50">
        <f t="shared" si="448"/>
        <v>4.8911677014276194</v>
      </c>
      <c r="BX110" s="44"/>
      <c r="BY110" s="91">
        <f t="shared" si="449"/>
        <v>4621.5554035567711</v>
      </c>
      <c r="BZ110" s="56">
        <f t="shared" si="450"/>
        <v>462.15554035567715</v>
      </c>
      <c r="CA110" s="141">
        <f t="shared" si="451"/>
        <v>0.17028575547372038</v>
      </c>
      <c r="CB110" s="56">
        <f t="shared" si="452"/>
        <v>7.1100852362411873</v>
      </c>
      <c r="CC110" s="56">
        <f t="shared" si="453"/>
        <v>1.1850142060401978</v>
      </c>
      <c r="CD110" s="56">
        <f t="shared" si="454"/>
        <v>41.753846153846155</v>
      </c>
      <c r="CE110" s="56">
        <f t="shared" si="455"/>
        <v>6.9589743589743591</v>
      </c>
      <c r="CF110" s="56">
        <f t="shared" si="456"/>
        <v>47.419746076941195</v>
      </c>
      <c r="CG110" s="56">
        <f t="shared" si="457"/>
        <v>54.529831313182385</v>
      </c>
      <c r="CH110" s="56">
        <f t="shared" si="458"/>
        <v>89.173592230787349</v>
      </c>
      <c r="CI110" s="56">
        <f t="shared" si="459"/>
        <v>7.9032910128235319</v>
      </c>
      <c r="CJ110" s="56">
        <f t="shared" si="460"/>
        <v>9.088305218863729</v>
      </c>
      <c r="CK110" s="56">
        <f t="shared" si="461"/>
        <v>14.862265371797891</v>
      </c>
      <c r="CL110" s="51">
        <v>4</v>
      </c>
      <c r="CM110" s="56">
        <f t="shared" si="462"/>
        <v>4.7419746076941198</v>
      </c>
      <c r="CN110" s="56">
        <f t="shared" si="463"/>
        <v>308.22834950011782</v>
      </c>
      <c r="CO110" s="173">
        <f t="shared" si="464"/>
        <v>0.11356976768611562</v>
      </c>
      <c r="CP110" s="174">
        <v>1416</v>
      </c>
      <c r="CQ110" s="328"/>
      <c r="CR110" s="82"/>
      <c r="CS110" s="269">
        <f>+CT110*CU110</f>
        <v>53.859399999999994</v>
      </c>
      <c r="CT110" s="269">
        <f>0.119*91.25</f>
        <v>10.858749999999999</v>
      </c>
      <c r="CU110" s="133">
        <v>4.96</v>
      </c>
      <c r="CV110" s="269">
        <f>+CW110*CX110</f>
        <v>69.698574999999991</v>
      </c>
      <c r="CW110" s="269">
        <f>0.181*91.25</f>
        <v>16.516249999999999</v>
      </c>
      <c r="CX110" s="133">
        <v>4.22</v>
      </c>
      <c r="CY110" s="269">
        <f>+CZ110*DA110</f>
        <v>45.250875000000001</v>
      </c>
      <c r="CZ110" s="269">
        <f>0.174*91.25</f>
        <v>15.8775</v>
      </c>
      <c r="DA110" s="133">
        <v>2.85</v>
      </c>
      <c r="DB110" s="269">
        <f t="shared" si="470"/>
        <v>40.171900000000043</v>
      </c>
      <c r="DC110" s="269">
        <f t="shared" si="470"/>
        <v>16.972500000000004</v>
      </c>
      <c r="DD110" s="133">
        <f>+DB110/DC110</f>
        <v>2.3668817204301096</v>
      </c>
      <c r="DE110" s="274">
        <f>+DF110*DG110</f>
        <v>208.98075000000003</v>
      </c>
      <c r="DF110" s="274">
        <f>0.165*365</f>
        <v>60.225000000000001</v>
      </c>
      <c r="DG110" s="273">
        <v>3.47</v>
      </c>
      <c r="DH110" s="272">
        <f>+DI110*DJ110</f>
        <v>1000.73145</v>
      </c>
      <c r="DI110" s="272">
        <f>0.118*91.25</f>
        <v>10.7675</v>
      </c>
      <c r="DJ110" s="296">
        <v>92.94</v>
      </c>
      <c r="DK110" s="272">
        <f>+DL110*DM110</f>
        <v>1119.7050250000002</v>
      </c>
      <c r="DL110" s="272">
        <f>0.127*91.25</f>
        <v>11.588750000000001</v>
      </c>
      <c r="DM110" s="296">
        <v>96.62</v>
      </c>
      <c r="DN110" s="272">
        <f>+DO110*DP110</f>
        <v>1043.3296875000001</v>
      </c>
      <c r="DO110" s="272">
        <f>0.125*91.25</f>
        <v>11.40625</v>
      </c>
      <c r="DP110" s="296">
        <v>91.47</v>
      </c>
      <c r="DQ110" s="272">
        <f t="shared" si="471"/>
        <v>878.8533874999996</v>
      </c>
      <c r="DR110" s="272">
        <f t="shared" si="471"/>
        <v>12.592500000000003</v>
      </c>
      <c r="DS110" s="296">
        <f>+DQ110/DR110</f>
        <v>69.791811594202855</v>
      </c>
      <c r="DT110" s="277">
        <f>+DU110*DV110</f>
        <v>4042.6195499999999</v>
      </c>
      <c r="DU110" s="277">
        <f>0.127*365</f>
        <v>46.355000000000004</v>
      </c>
      <c r="DV110" s="297">
        <v>87.21</v>
      </c>
      <c r="DW110" s="99">
        <f>+DX110*DY110</f>
        <v>41.695774999999998</v>
      </c>
      <c r="DX110" s="99">
        <f>0.011*91.25</f>
        <v>1.0037499999999999</v>
      </c>
      <c r="DY110" s="298">
        <v>41.54</v>
      </c>
      <c r="DZ110" s="99">
        <f>+EA110*EB110</f>
        <v>64.586749999999995</v>
      </c>
      <c r="EA110" s="99">
        <f>0.02*91.25</f>
        <v>1.825</v>
      </c>
      <c r="EB110" s="298">
        <v>35.39</v>
      </c>
      <c r="EC110" s="99">
        <f>+ED110*EE110</f>
        <v>76.317850000000007</v>
      </c>
      <c r="ED110" s="99">
        <f>0.029*91.25</f>
        <v>2.6462500000000002</v>
      </c>
      <c r="EE110" s="298">
        <v>28.84</v>
      </c>
      <c r="EF110" s="99">
        <f t="shared" si="472"/>
        <v>63.541024999999962</v>
      </c>
      <c r="EG110" s="99">
        <f t="shared" si="472"/>
        <v>2.919999999999999</v>
      </c>
      <c r="EH110" s="298">
        <f>+EF110/EG110</f>
        <v>21.760624999999994</v>
      </c>
      <c r="EI110" s="282">
        <f>+EJ110*EK110</f>
        <v>246.14139999999998</v>
      </c>
      <c r="EJ110" s="282">
        <f>0.023*365</f>
        <v>8.3949999999999996</v>
      </c>
      <c r="EK110" s="299">
        <v>29.32</v>
      </c>
      <c r="EL110" s="344">
        <v>93.17</v>
      </c>
      <c r="EM110" s="344">
        <v>4.37</v>
      </c>
      <c r="EN110" s="344">
        <v>9.56</v>
      </c>
      <c r="EO110" s="74">
        <v>5.21</v>
      </c>
      <c r="EP110" s="74">
        <v>4.6100000000000003</v>
      </c>
      <c r="EQ110" s="74">
        <v>3.96</v>
      </c>
      <c r="ER110" s="74">
        <v>3.8</v>
      </c>
      <c r="ES110" s="74">
        <v>11.19</v>
      </c>
      <c r="ET110" s="74">
        <v>10.15</v>
      </c>
      <c r="EU110" s="74">
        <v>9.83</v>
      </c>
      <c r="EV110" s="74">
        <v>7.41</v>
      </c>
      <c r="EW110" s="74">
        <v>98.68</v>
      </c>
      <c r="EX110" s="74">
        <v>103.35</v>
      </c>
      <c r="EY110" s="74">
        <v>97.87</v>
      </c>
      <c r="EZ110" s="74">
        <v>73.209999999999994</v>
      </c>
    </row>
    <row r="111" spans="1:156" ht="26.25" customHeight="1" x14ac:dyDescent="0.3">
      <c r="A111" s="43" t="s">
        <v>314</v>
      </c>
      <c r="B111" s="43" t="s">
        <v>271</v>
      </c>
      <c r="C111" s="53">
        <v>2015</v>
      </c>
      <c r="D111" s="52">
        <v>104</v>
      </c>
      <c r="E111" s="52">
        <v>54</v>
      </c>
      <c r="F111" s="52">
        <v>14</v>
      </c>
      <c r="G111" s="52">
        <f t="shared" si="423"/>
        <v>85.333333333333329</v>
      </c>
      <c r="H111" s="52">
        <f t="shared" si="424"/>
        <v>512</v>
      </c>
      <c r="I111" s="52">
        <f>15+108</f>
        <v>123</v>
      </c>
      <c r="J111" s="52">
        <f>14+18+1</f>
        <v>33</v>
      </c>
      <c r="K111" s="52">
        <v>0</v>
      </c>
      <c r="L111" s="52">
        <f>I111/6+J111+K111</f>
        <v>53.5</v>
      </c>
      <c r="M111" s="52">
        <f>I111+J111*6+K111*6</f>
        <v>321</v>
      </c>
      <c r="N111" s="52">
        <f>G111+L111</f>
        <v>138.83333333333331</v>
      </c>
      <c r="O111" s="52">
        <f>H111+M111</f>
        <v>833</v>
      </c>
      <c r="P111" s="54">
        <f>+H111/O111</f>
        <v>0.61464585834333729</v>
      </c>
      <c r="Q111" s="54">
        <f>D111/H111</f>
        <v>0.203125</v>
      </c>
      <c r="R111" s="54">
        <f t="shared" si="385"/>
        <v>0.6328125</v>
      </c>
      <c r="S111" s="54">
        <f t="shared" si="386"/>
        <v>0.1640625</v>
      </c>
      <c r="T111" s="208">
        <v>93</v>
      </c>
      <c r="U111" s="208">
        <v>23</v>
      </c>
      <c r="V111" s="208">
        <v>137</v>
      </c>
      <c r="W111" s="52">
        <f>+T111*6+U111*6+V111</f>
        <v>833</v>
      </c>
      <c r="X111" s="52">
        <f t="shared" si="435"/>
        <v>-1303</v>
      </c>
      <c r="Y111" s="52">
        <f>+T111+U111+V111/6</f>
        <v>138.83333333333334</v>
      </c>
      <c r="Z111" s="52">
        <f t="shared" si="437"/>
        <v>-217.16666666666666</v>
      </c>
      <c r="AA111" s="205">
        <f t="shared" si="465"/>
        <v>-0.61001872659176026</v>
      </c>
      <c r="AB111" s="44"/>
      <c r="AC111" s="45">
        <v>-113</v>
      </c>
      <c r="AD111" s="45">
        <v>102</v>
      </c>
      <c r="AE111" s="45">
        <v>0</v>
      </c>
      <c r="AF111" s="45">
        <v>0</v>
      </c>
      <c r="AG111" s="55">
        <f>SUM(AC111:AF111)</f>
        <v>-11</v>
      </c>
      <c r="AH111" s="45">
        <v>-157</v>
      </c>
      <c r="AI111" s="45">
        <v>45</v>
      </c>
      <c r="AJ111" s="45">
        <v>0</v>
      </c>
      <c r="AK111" s="45">
        <v>0</v>
      </c>
      <c r="AL111" s="55">
        <f>SUM(AH111:AK111)</f>
        <v>-112</v>
      </c>
      <c r="AM111" s="45">
        <v>-42</v>
      </c>
      <c r="AN111" s="45">
        <v>11</v>
      </c>
      <c r="AO111" s="45">
        <v>0</v>
      </c>
      <c r="AP111" s="45">
        <v>0</v>
      </c>
      <c r="AQ111" s="55">
        <f>SUM(AM111:AP111)</f>
        <v>-31</v>
      </c>
      <c r="AR111" s="55">
        <f t="shared" si="431"/>
        <v>-869</v>
      </c>
      <c r="AS111" s="55">
        <f t="shared" si="432"/>
        <v>-144.83333333333331</v>
      </c>
      <c r="AT111" s="46">
        <v>22</v>
      </c>
      <c r="AU111" s="46">
        <v>0</v>
      </c>
      <c r="AV111" s="46">
        <f>255-45</f>
        <v>210</v>
      </c>
      <c r="AW111" s="46">
        <f>2414-151</f>
        <v>2263</v>
      </c>
      <c r="AX111" s="50">
        <f t="shared" si="438"/>
        <v>2495</v>
      </c>
      <c r="AY111" s="52">
        <f>SUM(AX109:AX111)</f>
        <v>7405</v>
      </c>
      <c r="AZ111" s="52">
        <f t="shared" si="440"/>
        <v>174.33333333333337</v>
      </c>
      <c r="BA111" s="52">
        <f t="shared" si="441"/>
        <v>1046</v>
      </c>
      <c r="BB111" s="50">
        <f>AY111/AZ111</f>
        <v>42.476099426386227</v>
      </c>
      <c r="BC111" s="50">
        <f>AY111/BA111</f>
        <v>7.0793499043977057</v>
      </c>
      <c r="BD111" s="44"/>
      <c r="BE111" s="47">
        <v>786</v>
      </c>
      <c r="BF111" s="48"/>
      <c r="BG111" s="48">
        <f>262+449</f>
        <v>711</v>
      </c>
      <c r="BH111" s="47">
        <f t="shared" si="466"/>
        <v>711</v>
      </c>
      <c r="BI111" s="48">
        <v>140</v>
      </c>
      <c r="BJ111" s="48"/>
      <c r="BK111" s="47">
        <f t="shared" si="467"/>
        <v>86.05042016806722</v>
      </c>
      <c r="BL111" s="48"/>
      <c r="BM111" s="48">
        <v>138</v>
      </c>
      <c r="BN111" s="47">
        <f t="shared" si="468"/>
        <v>138</v>
      </c>
      <c r="BO111" s="48">
        <v>376</v>
      </c>
      <c r="BP111" s="48"/>
      <c r="BQ111" s="47">
        <f t="shared" si="469"/>
        <v>231.10684273709481</v>
      </c>
      <c r="BR111" s="48">
        <f>5503+1051</f>
        <v>6554</v>
      </c>
      <c r="BS111" s="48">
        <f>+BR111</f>
        <v>6554</v>
      </c>
      <c r="BT111" s="202">
        <f t="shared" si="445"/>
        <v>0.61464585834333729</v>
      </c>
      <c r="BU111" s="49">
        <f t="shared" si="446"/>
        <v>1952.157262905162</v>
      </c>
      <c r="BV111" s="50">
        <f t="shared" si="447"/>
        <v>22.876842924669869</v>
      </c>
      <c r="BW111" s="50">
        <f t="shared" si="448"/>
        <v>3.8128071541116446</v>
      </c>
      <c r="BX111" s="44"/>
      <c r="BY111" s="91">
        <f t="shared" si="449"/>
        <v>4447.1572629051625</v>
      </c>
      <c r="BZ111" s="56">
        <f>(BY111*0.1)</f>
        <v>444.71572629051627</v>
      </c>
      <c r="CA111" s="141">
        <f t="shared" si="451"/>
        <v>0.17824277606834318</v>
      </c>
      <c r="CB111" s="56">
        <f t="shared" si="452"/>
        <v>5.211512417466988</v>
      </c>
      <c r="CC111" s="56">
        <f t="shared" si="453"/>
        <v>0.86858540291116459</v>
      </c>
      <c r="CD111" s="56">
        <f t="shared" si="454"/>
        <v>29.23828125</v>
      </c>
      <c r="CE111" s="56">
        <f t="shared" si="455"/>
        <v>4.873046875</v>
      </c>
      <c r="CF111" s="56">
        <f t="shared" si="456"/>
        <v>65.3529423510561</v>
      </c>
      <c r="CG111" s="56">
        <f>CB111+CF111</f>
        <v>70.564454768523092</v>
      </c>
      <c r="CH111" s="56">
        <f>CF111+CD111</f>
        <v>94.5912236010561</v>
      </c>
      <c r="CI111" s="56">
        <f t="shared" si="459"/>
        <v>10.892157058509351</v>
      </c>
      <c r="CJ111" s="56">
        <f>+CI111+CC111</f>
        <v>11.760742461420516</v>
      </c>
      <c r="CK111" s="56">
        <f>+CI111+CE111</f>
        <v>15.765203933509351</v>
      </c>
      <c r="CL111" s="51">
        <v>4</v>
      </c>
      <c r="CM111" s="56">
        <f t="shared" si="462"/>
        <v>6.53529423510561</v>
      </c>
      <c r="CN111" s="56">
        <f t="shared" si="463"/>
        <v>557.67844139567865</v>
      </c>
      <c r="CO111" s="173">
        <f t="shared" si="464"/>
        <v>0.22351841338504155</v>
      </c>
      <c r="CP111" s="174">
        <v>1415</v>
      </c>
      <c r="CQ111" s="328"/>
      <c r="CR111" s="169"/>
      <c r="CS111" s="270">
        <f>+CT111*CU111</f>
        <v>39.629874999999998</v>
      </c>
      <c r="CT111" s="269">
        <f>0.202*91.25</f>
        <v>18.432500000000001</v>
      </c>
      <c r="CU111" s="133">
        <v>2.15</v>
      </c>
      <c r="CV111" s="269">
        <f>+CW111*CX111</f>
        <v>46.493699999999997</v>
      </c>
      <c r="CW111" s="269">
        <f>0.264*91.25</f>
        <v>24.09</v>
      </c>
      <c r="CX111" s="133">
        <v>1.93</v>
      </c>
      <c r="CY111" s="269">
        <f>+CZ111*DA111</f>
        <v>49.581599999999995</v>
      </c>
      <c r="CZ111" s="269">
        <f>0.283*91.25</f>
        <v>25.823749999999997</v>
      </c>
      <c r="DA111" s="133">
        <v>1.92</v>
      </c>
      <c r="DB111" s="269">
        <f t="shared" si="470"/>
        <v>32.26782500000003</v>
      </c>
      <c r="DC111" s="269">
        <f t="shared" si="470"/>
        <v>26.553750000000001</v>
      </c>
      <c r="DD111" s="133">
        <f>+DB111/DC111</f>
        <v>1.2151890034364272</v>
      </c>
      <c r="DE111" s="274">
        <f>+DF111*DG111</f>
        <v>167.97300000000001</v>
      </c>
      <c r="DF111" s="274">
        <f>0.26*365</f>
        <v>94.9</v>
      </c>
      <c r="DG111" s="273">
        <v>1.77</v>
      </c>
      <c r="DH111" s="272">
        <f>+DI111*DJ111</f>
        <v>512.7885</v>
      </c>
      <c r="DI111" s="272">
        <f>0.14*91.25</f>
        <v>12.775</v>
      </c>
      <c r="DJ111" s="296">
        <v>40.14</v>
      </c>
      <c r="DK111" s="272">
        <f>+DL111*DM111</f>
        <v>762.87281250000001</v>
      </c>
      <c r="DL111" s="272">
        <f>0.157*91.25</f>
        <v>14.32625</v>
      </c>
      <c r="DM111" s="296">
        <v>53.25</v>
      </c>
      <c r="DN111" s="272">
        <f>+DO111*DP111</f>
        <v>573.24709999999993</v>
      </c>
      <c r="DO111" s="272">
        <f>0.152*91.25</f>
        <v>13.87</v>
      </c>
      <c r="DP111" s="296">
        <v>41.33</v>
      </c>
      <c r="DQ111" s="272">
        <f t="shared" si="471"/>
        <v>512.44813749999946</v>
      </c>
      <c r="DR111" s="272">
        <f t="shared" si="471"/>
        <v>12.683749999999995</v>
      </c>
      <c r="DS111" s="296">
        <f>+DQ111/DR111</f>
        <v>40.401942446043144</v>
      </c>
      <c r="DT111" s="277">
        <f>+DU111*DV111</f>
        <v>2361.3565499999995</v>
      </c>
      <c r="DU111" s="277">
        <f>0.147*365</f>
        <v>53.654999999999994</v>
      </c>
      <c r="DV111" s="297">
        <v>44.01</v>
      </c>
      <c r="DW111" s="99">
        <f>+DX111*DY111</f>
        <v>44.893174999999999</v>
      </c>
      <c r="DX111" s="99">
        <f>0.034*91.25</f>
        <v>3.1025</v>
      </c>
      <c r="DY111" s="298">
        <v>14.47</v>
      </c>
      <c r="DZ111" s="99">
        <f>+EA111*EB111</f>
        <v>38.179000000000002</v>
      </c>
      <c r="EA111" s="99">
        <f>0.04*91.25</f>
        <v>3.65</v>
      </c>
      <c r="EB111" s="298">
        <v>10.46</v>
      </c>
      <c r="EC111" s="99">
        <f>+ED111*EE111</f>
        <v>23.808037500000001</v>
      </c>
      <c r="ED111" s="99">
        <f>0.039*91.25</f>
        <v>3.5587499999999999</v>
      </c>
      <c r="EE111" s="298">
        <v>6.69</v>
      </c>
      <c r="EF111" s="99">
        <f t="shared" si="472"/>
        <v>32.09718749999999</v>
      </c>
      <c r="EG111" s="99">
        <f t="shared" si="472"/>
        <v>3.558749999999999</v>
      </c>
      <c r="EH111" s="298">
        <f>+EF111/EG111</f>
        <v>9.0192307692307683</v>
      </c>
      <c r="EI111" s="282">
        <f>+EJ111*EK111</f>
        <v>138.97739999999999</v>
      </c>
      <c r="EJ111" s="282">
        <f>0.038*365</f>
        <v>13.87</v>
      </c>
      <c r="EK111" s="299">
        <v>10.02</v>
      </c>
      <c r="EL111" s="344">
        <v>48.66</v>
      </c>
      <c r="EM111" s="344">
        <v>2.62</v>
      </c>
      <c r="EN111" s="344">
        <v>4.97</v>
      </c>
      <c r="EO111" s="331">
        <v>2.9</v>
      </c>
      <c r="EP111" s="331">
        <v>2.75</v>
      </c>
      <c r="EQ111" s="331">
        <v>2.76</v>
      </c>
      <c r="ER111" s="331">
        <v>2.12</v>
      </c>
      <c r="ES111" s="331">
        <v>5.43</v>
      </c>
      <c r="ET111" s="331">
        <v>5.2</v>
      </c>
      <c r="EU111" s="331">
        <v>4.68</v>
      </c>
      <c r="EV111" s="331">
        <v>4.5999999999999996</v>
      </c>
      <c r="EW111" s="331">
        <v>48.49</v>
      </c>
      <c r="EX111" s="331">
        <v>57.85</v>
      </c>
      <c r="EY111" s="331">
        <v>46.64</v>
      </c>
      <c r="EZ111" s="331">
        <v>41.94</v>
      </c>
    </row>
    <row r="112" spans="1:156" ht="26.25" customHeight="1" x14ac:dyDescent="0.3">
      <c r="A112" s="228" t="s">
        <v>314</v>
      </c>
      <c r="B112" s="228" t="s">
        <v>271</v>
      </c>
      <c r="C112" s="229">
        <v>2016</v>
      </c>
      <c r="D112" s="216">
        <v>104</v>
      </c>
      <c r="E112" s="216">
        <v>45</v>
      </c>
      <c r="F112" s="216">
        <v>16</v>
      </c>
      <c r="G112" s="216">
        <f t="shared" si="423"/>
        <v>78.333333333333329</v>
      </c>
      <c r="H112" s="216">
        <f t="shared" si="424"/>
        <v>470</v>
      </c>
      <c r="I112" s="216">
        <f>17+2+83</f>
        <v>102</v>
      </c>
      <c r="J112" s="216">
        <f>12+12+1</f>
        <v>25</v>
      </c>
      <c r="K112" s="216">
        <v>0</v>
      </c>
      <c r="L112" s="216">
        <f>I112/6+J112+K112</f>
        <v>42</v>
      </c>
      <c r="M112" s="216">
        <f>I112+J112*6+K112*6</f>
        <v>252</v>
      </c>
      <c r="N112" s="216">
        <f>G112+L112</f>
        <v>120.33333333333333</v>
      </c>
      <c r="O112" s="216">
        <f>H112+M112</f>
        <v>722</v>
      </c>
      <c r="P112" s="302">
        <f>+H112/O112</f>
        <v>0.65096952908587258</v>
      </c>
      <c r="Q112" s="302">
        <f>D112/H112</f>
        <v>0.22127659574468084</v>
      </c>
      <c r="R112" s="302">
        <f t="shared" si="385"/>
        <v>0.57446808510638303</v>
      </c>
      <c r="S112" s="302">
        <f t="shared" si="386"/>
        <v>0.20425531914893619</v>
      </c>
      <c r="T112" s="209">
        <v>110</v>
      </c>
      <c r="U112" s="209">
        <v>27</v>
      </c>
      <c r="V112" s="209">
        <v>186</v>
      </c>
      <c r="W112" s="216">
        <f>+T112*6+U112*6+V112</f>
        <v>1008</v>
      </c>
      <c r="X112" s="216">
        <f>W112-W111</f>
        <v>175</v>
      </c>
      <c r="Y112" s="216">
        <f>+T112+U112+V112/6</f>
        <v>168</v>
      </c>
      <c r="Z112" s="216">
        <f>Y112-Y111</f>
        <v>29.166666666666657</v>
      </c>
      <c r="AA112" s="206">
        <f>+Z112/Y111</f>
        <v>0.2100840336134453</v>
      </c>
      <c r="AB112" s="230"/>
      <c r="AC112" s="231">
        <v>116</v>
      </c>
      <c r="AD112" s="231">
        <v>83</v>
      </c>
      <c r="AE112" s="231">
        <v>0</v>
      </c>
      <c r="AF112" s="231">
        <v>0</v>
      </c>
      <c r="AG112" s="303">
        <f>SUM(AC112:AF112)</f>
        <v>199</v>
      </c>
      <c r="AH112" s="231">
        <v>42</v>
      </c>
      <c r="AI112" s="231">
        <v>12</v>
      </c>
      <c r="AJ112" s="231">
        <v>0</v>
      </c>
      <c r="AK112" s="231">
        <v>0</v>
      </c>
      <c r="AL112" s="303">
        <f>SUM(AH112:AK112)</f>
        <v>54</v>
      </c>
      <c r="AM112" s="231">
        <v>23</v>
      </c>
      <c r="AN112" s="231">
        <v>5</v>
      </c>
      <c r="AO112" s="231">
        <v>0</v>
      </c>
      <c r="AP112" s="231">
        <v>0</v>
      </c>
      <c r="AQ112" s="303">
        <f>SUM(AM112:AP112)</f>
        <v>28</v>
      </c>
      <c r="AR112" s="303">
        <f t="shared" si="431"/>
        <v>691</v>
      </c>
      <c r="AS112" s="303">
        <f t="shared" si="432"/>
        <v>115.16666666666666</v>
      </c>
      <c r="AT112" s="232">
        <v>11</v>
      </c>
      <c r="AU112" s="232">
        <v>0</v>
      </c>
      <c r="AV112" s="232">
        <f>211-13</f>
        <v>198</v>
      </c>
      <c r="AW112" s="232">
        <f>1006-188</f>
        <v>818</v>
      </c>
      <c r="AX112" s="215">
        <f>SUM(AT112:AW112)</f>
        <v>1027</v>
      </c>
      <c r="AY112" s="216">
        <f>SUM(AX110:AX112)</f>
        <v>6236</v>
      </c>
      <c r="AZ112" s="216">
        <f>SUM(AS110:AS112)</f>
        <v>113.66666666666669</v>
      </c>
      <c r="BA112" s="216">
        <f>SUM(AR110:AR112)</f>
        <v>682</v>
      </c>
      <c r="BB112" s="215">
        <f>AY112/AZ112</f>
        <v>54.86217008797653</v>
      </c>
      <c r="BC112" s="215">
        <f>AY112/BA112</f>
        <v>9.1436950146627574</v>
      </c>
      <c r="BD112" s="230"/>
      <c r="BE112" s="212">
        <v>955</v>
      </c>
      <c r="BF112" s="200"/>
      <c r="BG112" s="200">
        <f>218+478</f>
        <v>696</v>
      </c>
      <c r="BH112" s="212">
        <f>IF(BG112=0,BF112*$BT112,BG112)</f>
        <v>696</v>
      </c>
      <c r="BI112" s="200">
        <v>-132</v>
      </c>
      <c r="BJ112" s="200"/>
      <c r="BK112" s="212">
        <f>IF(BJ112=0,BI112*$BT112,BJ112)</f>
        <v>-85.927977839335185</v>
      </c>
      <c r="BL112" s="200"/>
      <c r="BM112" s="200">
        <v>94</v>
      </c>
      <c r="BN112" s="212">
        <f>IF(BM112=0,BL112*$BT112,BM112)</f>
        <v>94</v>
      </c>
      <c r="BO112" s="200">
        <v>380</v>
      </c>
      <c r="BP112" s="200"/>
      <c r="BQ112" s="212">
        <f>IF(BP112=0,BO112*$BT112,BP112)</f>
        <v>247.36842105263159</v>
      </c>
      <c r="BR112" s="200">
        <f>4762-93</f>
        <v>4669</v>
      </c>
      <c r="BS112" s="200">
        <f>4762-93</f>
        <v>4669</v>
      </c>
      <c r="BT112" s="203">
        <f>+P112*BR112/BS112</f>
        <v>0.65096952908587258</v>
      </c>
      <c r="BU112" s="220">
        <f>BQ112+BN112+BK112+BH112+BE112</f>
        <v>1906.4404432132965</v>
      </c>
      <c r="BV112" s="215">
        <f>BU112/G112</f>
        <v>24.337537572935702</v>
      </c>
      <c r="BW112" s="215">
        <f>BU112/H112</f>
        <v>4.0562562621559497</v>
      </c>
      <c r="BX112" s="230"/>
      <c r="BY112" s="91">
        <f>BU112+AX112</f>
        <v>2933.4404432132965</v>
      </c>
      <c r="BZ112" s="56">
        <f>(BY112*0.1)</f>
        <v>293.34404432132965</v>
      </c>
      <c r="CA112" s="141">
        <f>+BZ112/AX112</f>
        <v>0.28563198083868513</v>
      </c>
      <c r="CB112" s="56">
        <f>BZ112/G112</f>
        <v>3.7448175870808043</v>
      </c>
      <c r="CC112" s="56">
        <f>BZ112/H112</f>
        <v>0.62413626451346738</v>
      </c>
      <c r="CD112" s="56">
        <f>+$AX112/G112</f>
        <v>13.110638297872342</v>
      </c>
      <c r="CE112" s="56">
        <f>+$AX112/H112</f>
        <v>2.1851063829787236</v>
      </c>
      <c r="CF112" s="56">
        <f>BB112+BV112</f>
        <v>79.199707660912225</v>
      </c>
      <c r="CG112" s="56">
        <f>CB112+CF112</f>
        <v>82.944525247993028</v>
      </c>
      <c r="CH112" s="56">
        <f>CF112+CD112</f>
        <v>92.310345958784566</v>
      </c>
      <c r="CI112" s="56">
        <f>+BC112+BW112</f>
        <v>13.199951276818707</v>
      </c>
      <c r="CJ112" s="56">
        <f>+CI112+CC112</f>
        <v>13.824087541332174</v>
      </c>
      <c r="CK112" s="56">
        <f>+CI112+CE112</f>
        <v>15.385057659797431</v>
      </c>
      <c r="CL112" s="51">
        <v>4</v>
      </c>
      <c r="CM112" s="56">
        <f>+CF112/10</f>
        <v>7.9199707660912226</v>
      </c>
      <c r="CN112" s="56">
        <f>+CM112*G112</f>
        <v>620.39771001047905</v>
      </c>
      <c r="CO112" s="173">
        <f>+CN112/AX112</f>
        <v>0.60408735151945381</v>
      </c>
      <c r="CP112" s="309">
        <v>597</v>
      </c>
      <c r="CQ112" s="329"/>
      <c r="CR112" s="325"/>
      <c r="CS112" s="313">
        <f>+CT112*CU112</f>
        <v>31.984950000000005</v>
      </c>
      <c r="CT112" s="313">
        <f>0.276*91.25</f>
        <v>25.185000000000002</v>
      </c>
      <c r="CU112" s="314">
        <v>1.27</v>
      </c>
      <c r="CV112" s="313">
        <f>+CW112*CX112</f>
        <v>29.957375000000003</v>
      </c>
      <c r="CW112" s="313">
        <f>0.245*91.25</f>
        <v>22.356249999999999</v>
      </c>
      <c r="CX112" s="314">
        <v>1.34</v>
      </c>
      <c r="CY112" s="313">
        <f>+CZ112*DA112</f>
        <v>41.144625000000005</v>
      </c>
      <c r="CZ112" s="313">
        <f>0.27*91.25</f>
        <v>24.637500000000003</v>
      </c>
      <c r="DA112" s="314">
        <v>1.67</v>
      </c>
      <c r="DB112" s="313">
        <f t="shared" si="470"/>
        <v>48.526750000000021</v>
      </c>
      <c r="DC112" s="313">
        <f t="shared" si="470"/>
        <v>21.991249999999994</v>
      </c>
      <c r="DD112" s="314">
        <f>+DB112/DC112</f>
        <v>2.2066390041493791</v>
      </c>
      <c r="DE112" s="315">
        <f>+DF112*DG112</f>
        <v>151.61370000000002</v>
      </c>
      <c r="DF112" s="315">
        <f>0.258*365</f>
        <v>94.17</v>
      </c>
      <c r="DG112" s="316">
        <v>1.61</v>
      </c>
      <c r="DH112" s="317">
        <f>+DI112*DJ112</f>
        <v>329.40885000000003</v>
      </c>
      <c r="DI112" s="317">
        <f>0.134*91.25</f>
        <v>12.227500000000001</v>
      </c>
      <c r="DJ112" s="318">
        <v>26.94</v>
      </c>
      <c r="DK112" s="317">
        <f>+DL112*DM112</f>
        <v>430.91535000000005</v>
      </c>
      <c r="DL112" s="317">
        <f>0.118*91.25</f>
        <v>10.7675</v>
      </c>
      <c r="DM112" s="318">
        <v>40.020000000000003</v>
      </c>
      <c r="DN112" s="317">
        <f>+DO112*DP112</f>
        <v>437.84122500000001</v>
      </c>
      <c r="DO112" s="317">
        <f>0.122*91.25</f>
        <v>11.1325</v>
      </c>
      <c r="DP112" s="318">
        <v>39.33</v>
      </c>
      <c r="DQ112" s="317">
        <f t="shared" si="471"/>
        <v>455.233475</v>
      </c>
      <c r="DR112" s="317">
        <f t="shared" si="471"/>
        <v>10.402500000000002</v>
      </c>
      <c r="DS112" s="318">
        <f>+DQ112/DR112</f>
        <v>43.761929824561399</v>
      </c>
      <c r="DT112" s="319">
        <f>+DU112*DV112</f>
        <v>1653.3989000000001</v>
      </c>
      <c r="DU112" s="319">
        <f>0.122*365</f>
        <v>44.53</v>
      </c>
      <c r="DV112" s="320">
        <v>37.130000000000003</v>
      </c>
      <c r="DW112" s="187">
        <f>+DX112*DY112</f>
        <v>30.221999999999998</v>
      </c>
      <c r="DX112" s="187">
        <f>0.046*91.25</f>
        <v>4.1974999999999998</v>
      </c>
      <c r="DY112" s="321">
        <v>7.2</v>
      </c>
      <c r="DZ112" s="187">
        <f>+EA112*EB112</f>
        <v>34.685949999999998</v>
      </c>
      <c r="EA112" s="187">
        <f>0.043*91.25</f>
        <v>3.9237499999999996</v>
      </c>
      <c r="EB112" s="321">
        <v>8.84</v>
      </c>
      <c r="EC112" s="187">
        <f>+ED112*EE112</f>
        <v>36.134999999999998</v>
      </c>
      <c r="ED112" s="187">
        <f>0.044*91.25</f>
        <v>4.0149999999999997</v>
      </c>
      <c r="EE112" s="321">
        <v>9</v>
      </c>
      <c r="EF112" s="187">
        <f t="shared" si="472"/>
        <v>51.355500000000021</v>
      </c>
      <c r="EG112" s="187">
        <f t="shared" si="472"/>
        <v>3.5587499999999999</v>
      </c>
      <c r="EH112" s="321">
        <f>+EF112/EG112</f>
        <v>14.430769230769236</v>
      </c>
      <c r="EI112" s="322">
        <f>+EJ112*EK112</f>
        <v>152.39845</v>
      </c>
      <c r="EJ112" s="322">
        <f>0.043*365</f>
        <v>15.694999999999999</v>
      </c>
      <c r="EK112" s="323">
        <v>9.7100000000000009</v>
      </c>
      <c r="EL112" s="345">
        <v>43.2</v>
      </c>
      <c r="EM112" s="345">
        <v>2.52</v>
      </c>
      <c r="EN112" s="345">
        <v>5.04</v>
      </c>
      <c r="EO112" s="332">
        <v>1.99</v>
      </c>
      <c r="EP112" s="332">
        <v>2.15</v>
      </c>
      <c r="EQ112" s="332">
        <v>2.88</v>
      </c>
      <c r="ER112" s="332">
        <v>3.04</v>
      </c>
      <c r="ES112" s="332">
        <v>4.0199999999999996</v>
      </c>
      <c r="ET112" s="332">
        <v>5</v>
      </c>
      <c r="EU112" s="332">
        <v>5.04</v>
      </c>
      <c r="EV112" s="332">
        <v>6.05</v>
      </c>
      <c r="EW112" s="332">
        <v>33.35</v>
      </c>
      <c r="EX112" s="332">
        <v>45.46</v>
      </c>
      <c r="EY112" s="332">
        <v>44.85</v>
      </c>
      <c r="EZ112" s="332">
        <v>49.14</v>
      </c>
    </row>
    <row r="113" spans="1:156" ht="26.25" customHeight="1" x14ac:dyDescent="0.3">
      <c r="A113" s="24" t="s">
        <v>303</v>
      </c>
      <c r="B113" s="24" t="s">
        <v>272</v>
      </c>
      <c r="C113" s="1">
        <v>2007</v>
      </c>
      <c r="D113" s="25">
        <v>174</v>
      </c>
      <c r="E113" s="25">
        <v>23</v>
      </c>
      <c r="F113" s="25"/>
      <c r="G113" s="25">
        <f t="shared" ref="G113:G122" si="473">D113/6+E113+F113</f>
        <v>52</v>
      </c>
      <c r="H113" s="25">
        <f t="shared" ref="H113:H122" si="474">D113+E113*6+F113*6</f>
        <v>312</v>
      </c>
      <c r="I113" s="25">
        <f>83+1+48</f>
        <v>132</v>
      </c>
      <c r="J113" s="25">
        <f>17+16+13</f>
        <v>46</v>
      </c>
      <c r="K113" s="25"/>
      <c r="L113" s="25">
        <f t="shared" ref="L113:L120" si="475">I113/6+J113+K113</f>
        <v>68</v>
      </c>
      <c r="M113" s="25">
        <f t="shared" ref="M113:M120" si="476">I113+J113*6+K113*6</f>
        <v>408</v>
      </c>
      <c r="N113" s="25">
        <f t="shared" ref="N113:N120" si="477">G113+L113</f>
        <v>120</v>
      </c>
      <c r="O113" s="25">
        <f t="shared" ref="O113:O120" si="478">H113+M113</f>
        <v>720</v>
      </c>
      <c r="P113" s="26">
        <f t="shared" ref="P113:P120" si="479">+H113/O113</f>
        <v>0.43333333333333335</v>
      </c>
      <c r="Q113" s="26">
        <f t="shared" ref="Q113:Q119" si="480">D113/H113</f>
        <v>0.55769230769230771</v>
      </c>
      <c r="R113" s="26">
        <f t="shared" ref="R113:R121" si="481">E113/G113</f>
        <v>0.44230769230769229</v>
      </c>
      <c r="S113" s="26">
        <f t="shared" ref="S113:S121" si="482">F113/G113</f>
        <v>0</v>
      </c>
      <c r="T113" s="207">
        <v>31</v>
      </c>
      <c r="U113" s="207">
        <v>0</v>
      </c>
      <c r="V113" s="208">
        <v>246</v>
      </c>
      <c r="W113" s="25">
        <f t="shared" si="383"/>
        <v>432</v>
      </c>
      <c r="X113" s="25"/>
      <c r="Y113" s="25">
        <f>+T113+U113+V113/6</f>
        <v>72</v>
      </c>
      <c r="Z113" s="25"/>
      <c r="AA113" s="25"/>
      <c r="AB113" s="27"/>
      <c r="AC113" s="28">
        <v>-36</v>
      </c>
      <c r="AD113" s="28">
        <v>148</v>
      </c>
      <c r="AE113" s="28">
        <v>1</v>
      </c>
      <c r="AF113" s="28">
        <v>0</v>
      </c>
      <c r="AG113" s="29">
        <f>SUM(AC113:AF113)</f>
        <v>113</v>
      </c>
      <c r="AH113" s="28">
        <v>2</v>
      </c>
      <c r="AI113" s="28">
        <v>5</v>
      </c>
      <c r="AJ113" s="28">
        <v>2</v>
      </c>
      <c r="AK113" s="28">
        <v>8</v>
      </c>
      <c r="AL113" s="29">
        <f>SUM(AH113:AK113)</f>
        <v>17</v>
      </c>
      <c r="AM113" s="28">
        <v>0</v>
      </c>
      <c r="AN113" s="28">
        <v>0</v>
      </c>
      <c r="AO113" s="28">
        <v>0</v>
      </c>
      <c r="AP113" s="28">
        <v>0</v>
      </c>
      <c r="AQ113" s="29">
        <f>SUM(AM113:AP113)</f>
        <v>0</v>
      </c>
      <c r="AR113" s="29">
        <f t="shared" ref="AR113:AR122" si="483">(AG113)+(AL113*6)+AQ113*6</f>
        <v>215</v>
      </c>
      <c r="AS113" s="29">
        <f t="shared" ref="AS113:AS122" si="484">AG113/6+AL113+AQ113</f>
        <v>35.833333333333329</v>
      </c>
      <c r="AT113" s="30">
        <v>142</v>
      </c>
      <c r="AU113" s="30">
        <v>4</v>
      </c>
      <c r="AV113" s="30">
        <v>523</v>
      </c>
      <c r="AW113" s="30">
        <v>697</v>
      </c>
      <c r="AX113" s="31">
        <f t="shared" si="390"/>
        <v>1366</v>
      </c>
      <c r="AY113" s="25"/>
      <c r="AZ113" s="25"/>
      <c r="BA113" s="25"/>
      <c r="BB113" s="31"/>
      <c r="BC113" s="31"/>
      <c r="BD113" s="27"/>
      <c r="BE113" s="32"/>
      <c r="BF113" s="33"/>
      <c r="BG113" s="34"/>
      <c r="BH113" s="32"/>
      <c r="BI113" s="33"/>
      <c r="BJ113" s="34"/>
      <c r="BK113" s="32"/>
      <c r="BL113" s="33"/>
      <c r="BM113" s="34"/>
      <c r="BN113" s="32"/>
      <c r="BO113" s="33"/>
      <c r="BP113" s="34"/>
      <c r="BQ113" s="32"/>
      <c r="BR113" s="34">
        <v>0</v>
      </c>
      <c r="BS113" s="34">
        <v>0</v>
      </c>
      <c r="BT113" s="34"/>
      <c r="BU113" s="35"/>
      <c r="BV113" s="31"/>
      <c r="BW113" s="31"/>
      <c r="BX113" s="27"/>
      <c r="BY113" s="88"/>
      <c r="BZ113" s="36"/>
      <c r="CA113" s="36"/>
      <c r="CB113" s="36"/>
      <c r="CC113" s="36"/>
      <c r="CD113" s="36"/>
      <c r="CE113" s="36"/>
      <c r="CF113" s="36"/>
      <c r="CG113" s="36"/>
      <c r="CH113" s="36"/>
      <c r="CI113" s="36"/>
      <c r="CJ113" s="36"/>
      <c r="CK113" s="36"/>
      <c r="CL113" s="37"/>
      <c r="CM113" s="37"/>
      <c r="CN113" s="37"/>
      <c r="CO113" s="37"/>
      <c r="CP113" s="327"/>
      <c r="CQ113" s="327"/>
      <c r="CS113" s="293"/>
      <c r="CT113" s="227"/>
      <c r="CU113" s="227"/>
      <c r="CV113" s="227"/>
      <c r="CW113" s="227"/>
      <c r="CX113" s="227"/>
      <c r="CY113" s="227"/>
      <c r="CZ113" s="227"/>
      <c r="DA113" s="227"/>
      <c r="DB113" s="227"/>
      <c r="DC113" s="227"/>
      <c r="DD113" s="227"/>
      <c r="DE113" s="275"/>
      <c r="DF113" s="275"/>
      <c r="DG113" s="275"/>
      <c r="DH113" s="226"/>
      <c r="DI113" s="226"/>
      <c r="DJ113" s="226"/>
      <c r="DK113" s="226"/>
      <c r="DL113" s="226"/>
      <c r="DM113" s="226"/>
      <c r="DN113" s="226"/>
      <c r="DO113" s="226"/>
      <c r="DP113" s="226"/>
      <c r="DQ113" s="226"/>
      <c r="DR113" s="226"/>
      <c r="DS113" s="226"/>
      <c r="DT113" s="278"/>
      <c r="DU113" s="278"/>
      <c r="DV113" s="278"/>
      <c r="DW113" s="280"/>
      <c r="DX113" s="280"/>
      <c r="DY113" s="280"/>
      <c r="DZ113" s="280"/>
      <c r="EA113" s="280"/>
      <c r="EB113" s="280"/>
      <c r="EC113" s="280"/>
      <c r="ED113" s="280"/>
      <c r="EE113" s="280"/>
      <c r="EF113" s="280"/>
      <c r="EG113" s="280"/>
      <c r="EH113" s="280"/>
      <c r="EI113" s="283"/>
      <c r="EJ113" s="283"/>
      <c r="EK113" s="294"/>
      <c r="EL113" s="343">
        <v>72.34</v>
      </c>
      <c r="EM113" s="343">
        <v>6.97</v>
      </c>
      <c r="EN113" s="343">
        <v>12.91</v>
      </c>
      <c r="EO113" s="116"/>
      <c r="EP113" s="116"/>
      <c r="EQ113" s="116"/>
      <c r="ER113" s="116"/>
      <c r="ES113" s="116"/>
      <c r="ET113" s="116"/>
      <c r="EU113" s="116"/>
      <c r="EV113" s="116"/>
      <c r="EW113" s="116"/>
      <c r="EX113" s="116"/>
      <c r="EY113" s="116"/>
      <c r="EZ113" s="116"/>
    </row>
    <row r="114" spans="1:156" ht="26.25" customHeight="1" x14ac:dyDescent="0.3">
      <c r="A114" s="24" t="s">
        <v>303</v>
      </c>
      <c r="B114" s="24" t="s">
        <v>272</v>
      </c>
      <c r="C114" s="1">
        <v>2008</v>
      </c>
      <c r="D114" s="25">
        <v>164</v>
      </c>
      <c r="E114" s="25">
        <v>23</v>
      </c>
      <c r="F114" s="25"/>
      <c r="G114" s="25">
        <f t="shared" si="473"/>
        <v>50.333333333333329</v>
      </c>
      <c r="H114" s="25">
        <f t="shared" si="474"/>
        <v>302</v>
      </c>
      <c r="I114" s="25">
        <f>134+1+48</f>
        <v>183</v>
      </c>
      <c r="J114" s="25">
        <f>15+17+20</f>
        <v>52</v>
      </c>
      <c r="K114" s="25"/>
      <c r="L114" s="25">
        <f t="shared" si="475"/>
        <v>82.5</v>
      </c>
      <c r="M114" s="25">
        <f t="shared" si="476"/>
        <v>495</v>
      </c>
      <c r="N114" s="25">
        <f t="shared" si="477"/>
        <v>132.83333333333331</v>
      </c>
      <c r="O114" s="25">
        <f t="shared" si="478"/>
        <v>797</v>
      </c>
      <c r="P114" s="26">
        <f t="shared" si="479"/>
        <v>0.37892095357590966</v>
      </c>
      <c r="Q114" s="26">
        <f t="shared" si="480"/>
        <v>0.54304635761589404</v>
      </c>
      <c r="R114" s="26">
        <f t="shared" si="481"/>
        <v>0.45695364238410602</v>
      </c>
      <c r="S114" s="26">
        <f t="shared" si="482"/>
        <v>0</v>
      </c>
      <c r="T114" s="207">
        <v>41</v>
      </c>
      <c r="U114" s="207">
        <v>0</v>
      </c>
      <c r="V114">
        <v>246</v>
      </c>
      <c r="W114" s="25">
        <f t="shared" si="383"/>
        <v>492</v>
      </c>
      <c r="X114" s="25">
        <f>W114-W113</f>
        <v>60</v>
      </c>
      <c r="Y114" s="25">
        <f>+T114+U114+V114/6</f>
        <v>82</v>
      </c>
      <c r="Z114" s="25">
        <f>Y114-Y113</f>
        <v>10</v>
      </c>
      <c r="AA114" s="204">
        <f>+Z114/Y113</f>
        <v>0.1388888888888889</v>
      </c>
      <c r="AB114" s="27"/>
      <c r="AC114" s="28">
        <v>79</v>
      </c>
      <c r="AD114" s="28">
        <v>165</v>
      </c>
      <c r="AE114" s="28">
        <v>0</v>
      </c>
      <c r="AF114" s="28">
        <v>0</v>
      </c>
      <c r="AG114" s="29">
        <f t="shared" si="17"/>
        <v>244</v>
      </c>
      <c r="AH114" s="28">
        <v>3</v>
      </c>
      <c r="AI114" s="28">
        <v>31</v>
      </c>
      <c r="AJ114" s="28">
        <v>0</v>
      </c>
      <c r="AK114" s="28">
        <v>1</v>
      </c>
      <c r="AL114" s="29">
        <f t="shared" ref="AL114:AL119" si="485">SUM(AH114:AK114)</f>
        <v>35</v>
      </c>
      <c r="AM114" s="28">
        <v>0</v>
      </c>
      <c r="AN114" s="28">
        <v>0</v>
      </c>
      <c r="AO114" s="28">
        <v>0</v>
      </c>
      <c r="AP114" s="28">
        <v>0</v>
      </c>
      <c r="AQ114" s="29">
        <f t="shared" ref="AQ114:AQ119" si="486">SUM(AM114:AP114)</f>
        <v>0</v>
      </c>
      <c r="AR114" s="29">
        <f t="shared" si="483"/>
        <v>454</v>
      </c>
      <c r="AS114" s="29">
        <f t="shared" si="484"/>
        <v>75.666666666666657</v>
      </c>
      <c r="AT114" s="30">
        <v>397</v>
      </c>
      <c r="AU114" s="30">
        <v>3</v>
      </c>
      <c r="AV114" s="30">
        <v>738</v>
      </c>
      <c r="AW114" s="30">
        <v>1072</v>
      </c>
      <c r="AX114" s="31">
        <f t="shared" si="390"/>
        <v>2210</v>
      </c>
      <c r="AY114" s="25"/>
      <c r="AZ114" s="25"/>
      <c r="BA114" s="25"/>
      <c r="BC114" s="31"/>
      <c r="BD114" s="27"/>
      <c r="BE114" s="32"/>
      <c r="BF114" s="33"/>
      <c r="BG114" s="34"/>
      <c r="BH114" s="32"/>
      <c r="BI114" s="33"/>
      <c r="BJ114" s="34"/>
      <c r="BK114" s="32"/>
      <c r="BL114" s="33"/>
      <c r="BM114" s="34"/>
      <c r="BN114" s="32"/>
      <c r="BO114" s="33"/>
      <c r="BP114" s="34"/>
      <c r="BQ114" s="32"/>
      <c r="BR114" s="57">
        <v>0</v>
      </c>
      <c r="BS114" s="57">
        <v>0</v>
      </c>
      <c r="BT114" s="57"/>
      <c r="BU114" s="35"/>
      <c r="BV114" s="31"/>
      <c r="BW114" s="31"/>
      <c r="BX114" s="27"/>
      <c r="BY114" s="88"/>
      <c r="BZ114" s="38"/>
      <c r="CA114" s="36"/>
      <c r="CB114" s="38"/>
      <c r="CC114" s="36"/>
      <c r="CD114" s="36"/>
      <c r="CE114" s="36"/>
      <c r="CF114" s="89"/>
      <c r="CG114" s="36"/>
      <c r="CH114" s="36"/>
      <c r="CI114" s="36"/>
      <c r="CJ114" s="36"/>
      <c r="CK114" s="36"/>
      <c r="CL114" s="37"/>
      <c r="CM114" s="37"/>
      <c r="CN114" s="38"/>
      <c r="CO114" s="38"/>
      <c r="CP114" s="327"/>
      <c r="CQ114" s="327"/>
      <c r="CS114" s="271"/>
      <c r="CT114" s="133"/>
      <c r="CU114" s="133"/>
      <c r="CV114" s="133"/>
      <c r="CW114" s="133"/>
      <c r="CX114" s="133"/>
      <c r="CY114" s="133"/>
      <c r="CZ114" s="133"/>
      <c r="DA114" s="133"/>
      <c r="DB114" s="133"/>
      <c r="DC114" s="133"/>
      <c r="DD114" s="133"/>
      <c r="DE114" s="273"/>
      <c r="DF114" s="273"/>
      <c r="DG114" s="273"/>
      <c r="DH114" s="132"/>
      <c r="DI114" s="132"/>
      <c r="DJ114" s="132"/>
      <c r="DK114" s="132"/>
      <c r="DL114" s="132"/>
      <c r="DM114" s="132"/>
      <c r="DN114" s="132"/>
      <c r="DO114" s="132"/>
      <c r="DP114" s="132"/>
      <c r="DQ114" s="132"/>
      <c r="DR114" s="132"/>
      <c r="DS114" s="132"/>
      <c r="DT114" s="276"/>
      <c r="DU114" s="276"/>
      <c r="DV114" s="276"/>
      <c r="DW114" s="279"/>
      <c r="DX114" s="279"/>
      <c r="DY114" s="279"/>
      <c r="DZ114" s="279"/>
      <c r="EA114" s="279"/>
      <c r="EB114" s="279"/>
      <c r="EC114" s="279"/>
      <c r="ED114" s="279"/>
      <c r="EE114" s="279"/>
      <c r="EF114" s="279"/>
      <c r="EG114" s="279"/>
      <c r="EH114" s="279"/>
      <c r="EI114" s="281"/>
      <c r="EJ114" s="281"/>
      <c r="EK114" s="295"/>
      <c r="EL114" s="343">
        <v>99.67</v>
      </c>
      <c r="EM114" s="343">
        <v>8.86</v>
      </c>
      <c r="EN114" s="343">
        <v>15.2</v>
      </c>
      <c r="EO114" s="116"/>
      <c r="EP114" s="116"/>
      <c r="EQ114" s="116"/>
      <c r="ER114" s="116"/>
      <c r="ES114" s="116"/>
      <c r="ET114" s="116"/>
      <c r="EU114" s="116"/>
      <c r="EV114" s="116"/>
      <c r="EW114" s="116"/>
      <c r="EX114" s="116"/>
      <c r="EY114" s="116"/>
      <c r="EZ114" s="116"/>
    </row>
    <row r="115" spans="1:156" ht="26.25" customHeight="1" x14ac:dyDescent="0.3">
      <c r="A115" s="24" t="s">
        <v>303</v>
      </c>
      <c r="B115" s="24" t="s">
        <v>272</v>
      </c>
      <c r="C115" s="1">
        <v>2009</v>
      </c>
      <c r="D115" s="25">
        <v>146</v>
      </c>
      <c r="E115" s="25">
        <v>23</v>
      </c>
      <c r="F115" s="25"/>
      <c r="G115" s="25">
        <f t="shared" si="473"/>
        <v>47.333333333333329</v>
      </c>
      <c r="H115" s="25">
        <f t="shared" si="474"/>
        <v>284</v>
      </c>
      <c r="I115" s="25">
        <f>155+2+42</f>
        <v>199</v>
      </c>
      <c r="J115" s="25">
        <f>15+17+33</f>
        <v>65</v>
      </c>
      <c r="K115" s="25"/>
      <c r="L115" s="25">
        <f t="shared" si="475"/>
        <v>98.166666666666657</v>
      </c>
      <c r="M115" s="25">
        <f t="shared" si="476"/>
        <v>589</v>
      </c>
      <c r="N115" s="25">
        <f t="shared" si="477"/>
        <v>145.5</v>
      </c>
      <c r="O115" s="25">
        <f t="shared" si="478"/>
        <v>873</v>
      </c>
      <c r="P115" s="26">
        <f t="shared" si="479"/>
        <v>0.32531500572737687</v>
      </c>
      <c r="Q115" s="26">
        <f t="shared" si="480"/>
        <v>0.5140845070422535</v>
      </c>
      <c r="R115" s="26">
        <f t="shared" si="481"/>
        <v>0.48591549295774655</v>
      </c>
      <c r="S115" s="26">
        <f t="shared" si="482"/>
        <v>0</v>
      </c>
      <c r="T115" s="207">
        <v>50</v>
      </c>
      <c r="U115" s="207">
        <v>0</v>
      </c>
      <c r="V115">
        <v>168</v>
      </c>
      <c r="W115" s="25">
        <f t="shared" si="383"/>
        <v>468</v>
      </c>
      <c r="X115" s="25">
        <f t="shared" ref="X115:X121" si="487">W115-W114</f>
        <v>-24</v>
      </c>
      <c r="Y115" s="25">
        <f t="shared" ref="Y115:Y120" si="488">+T115+U115+V115/6</f>
        <v>78</v>
      </c>
      <c r="Z115" s="25">
        <f t="shared" ref="Z115:Z121" si="489">Y115-Y114</f>
        <v>-4</v>
      </c>
      <c r="AA115" s="204">
        <f>+Z115/Y114</f>
        <v>-4.878048780487805E-2</v>
      </c>
      <c r="AB115" s="27"/>
      <c r="AC115" s="28">
        <v>-139</v>
      </c>
      <c r="AD115" s="28">
        <v>80</v>
      </c>
      <c r="AE115" s="28">
        <v>0</v>
      </c>
      <c r="AF115" s="28">
        <v>0</v>
      </c>
      <c r="AG115" s="29">
        <f t="shared" si="17"/>
        <v>-59</v>
      </c>
      <c r="AH115" s="28">
        <v>0</v>
      </c>
      <c r="AI115" s="28">
        <v>21</v>
      </c>
      <c r="AJ115" s="28">
        <v>0</v>
      </c>
      <c r="AK115" s="28">
        <v>0</v>
      </c>
      <c r="AL115" s="29">
        <f t="shared" si="485"/>
        <v>21</v>
      </c>
      <c r="AM115" s="28">
        <v>0</v>
      </c>
      <c r="AN115" s="28">
        <v>0</v>
      </c>
      <c r="AO115" s="28">
        <v>0</v>
      </c>
      <c r="AP115" s="28">
        <v>0</v>
      </c>
      <c r="AQ115" s="29">
        <f t="shared" si="486"/>
        <v>0</v>
      </c>
      <c r="AR115" s="29">
        <f t="shared" si="483"/>
        <v>67</v>
      </c>
      <c r="AS115" s="29">
        <f t="shared" si="484"/>
        <v>11.166666666666666</v>
      </c>
      <c r="AT115" s="30">
        <v>127</v>
      </c>
      <c r="AU115" s="30">
        <v>0</v>
      </c>
      <c r="AV115" s="30">
        <v>271</v>
      </c>
      <c r="AW115" s="30">
        <v>1150</v>
      </c>
      <c r="AX115" s="31">
        <f t="shared" si="390"/>
        <v>1548</v>
      </c>
      <c r="AY115" s="25">
        <f t="shared" ref="AY115:AY120" si="490">SUM(AX113:AX115)</f>
        <v>5124</v>
      </c>
      <c r="AZ115" s="25">
        <f t="shared" ref="AZ115:AZ121" si="491">SUM(AS113:AS115)</f>
        <v>122.66666666666666</v>
      </c>
      <c r="BA115" s="25">
        <f t="shared" ref="BA115:BA121" si="492">SUM(AR113:AR115)</f>
        <v>736</v>
      </c>
      <c r="BB115" s="31">
        <f t="shared" ref="BB115:BB120" si="493">AY115/AZ115</f>
        <v>41.771739130434788</v>
      </c>
      <c r="BC115" s="31">
        <f t="shared" ref="BC115:BC120" si="494">AY115/BA115</f>
        <v>6.9619565217391308</v>
      </c>
      <c r="BD115" s="27"/>
      <c r="BE115" s="221">
        <f>763+53</f>
        <v>816</v>
      </c>
      <c r="BF115" s="34">
        <v>451</v>
      </c>
      <c r="BG115" s="34">
        <v>0</v>
      </c>
      <c r="BH115" s="32">
        <f>IF(BG115=0,BF115*$BT115,BG115)</f>
        <v>54.30322271038338</v>
      </c>
      <c r="BI115" s="34">
        <v>1663</v>
      </c>
      <c r="BJ115" s="34">
        <v>0</v>
      </c>
      <c r="BK115" s="32">
        <f>IF(BJ115=0,BI115*$BT115,BJ115)</f>
        <v>200.23560835336488</v>
      </c>
      <c r="BL115" s="34">
        <v>0</v>
      </c>
      <c r="BM115" s="34"/>
      <c r="BN115" s="32">
        <f t="shared" ref="BN115:BN121" si="495">IF(BM115=0,BL115*$BT115,BM115)</f>
        <v>0</v>
      </c>
      <c r="BO115">
        <v>262</v>
      </c>
      <c r="BP115" s="34">
        <v>0</v>
      </c>
      <c r="BQ115" s="32">
        <f t="shared" ref="BQ115:BQ122" si="496">IF(BP115=0,BO115*$BT115,BP115)</f>
        <v>31.546439800710523</v>
      </c>
      <c r="BR115" s="34">
        <v>4306</v>
      </c>
      <c r="BS115" s="34">
        <v>11634</v>
      </c>
      <c r="BT115" s="201">
        <f t="shared" ref="BT115:BT121" si="497">+P115*BR115/BS115</f>
        <v>0.12040625878133787</v>
      </c>
      <c r="BU115" s="35">
        <f t="shared" ref="BU115:BU121" si="498">BQ115+BN115+BK115+BH115+BE115</f>
        <v>1102.0852708644588</v>
      </c>
      <c r="BV115" s="31">
        <f t="shared" ref="BV115:BV121" si="499">BU115/G115</f>
        <v>23.283491637981527</v>
      </c>
      <c r="BW115" s="31">
        <f t="shared" ref="BW115:BW121" si="500">BU115/H115</f>
        <v>3.8805819396635877</v>
      </c>
      <c r="BX115" s="27"/>
      <c r="BY115" s="90">
        <f t="shared" ref="BY115:BY121" si="501">BU115+AX115</f>
        <v>2650.0852708644588</v>
      </c>
      <c r="BZ115" s="38">
        <f t="shared" ref="BZ115:BZ120" si="502">(BY115*0.1)</f>
        <v>265.00852708644589</v>
      </c>
      <c r="CA115" s="140">
        <f t="shared" ref="CA115:CA121" si="503">+BZ115/AX115</f>
        <v>0.17119413894473248</v>
      </c>
      <c r="CB115" s="38">
        <f t="shared" ref="CB115:CB121" si="504">BZ115/G115</f>
        <v>5.5987716990094212</v>
      </c>
      <c r="CC115" s="38">
        <f t="shared" ref="CC115:CC121" si="505">BZ115/H115</f>
        <v>0.93312861650157009</v>
      </c>
      <c r="CD115" s="38">
        <f t="shared" ref="CD115:CD121" si="506">+$AX115/G115</f>
        <v>32.70422535211268</v>
      </c>
      <c r="CE115" s="38">
        <f t="shared" ref="CE115:CE121" si="507">+$AX115/H115</f>
        <v>5.450704225352113</v>
      </c>
      <c r="CF115" s="38">
        <f t="shared" ref="CF115:CF121" si="508">BB115+BV115</f>
        <v>65.055230768416322</v>
      </c>
      <c r="CG115" s="38">
        <f t="shared" ref="CG115:CG120" si="509">CB115+CF115</f>
        <v>70.654002467425741</v>
      </c>
      <c r="CH115" s="38">
        <f t="shared" ref="CH115:CH120" si="510">CF115+CD115</f>
        <v>97.759456120528995</v>
      </c>
      <c r="CI115" s="38">
        <f t="shared" ref="CI115:CI121" si="511">+BC115+BW115</f>
        <v>10.842538461402718</v>
      </c>
      <c r="CJ115" s="38">
        <f t="shared" ref="CJ115:CJ120" si="512">+CI115+CC115</f>
        <v>11.775667077904288</v>
      </c>
      <c r="CK115" s="38">
        <f t="shared" ref="CK115:CK120" si="513">+CI115+CE115</f>
        <v>16.29324268675483</v>
      </c>
      <c r="CL115" s="37">
        <v>4</v>
      </c>
      <c r="CM115" s="38">
        <f t="shared" ref="CM115:CM121" si="514">+CF115/10</f>
        <v>6.5055230768416319</v>
      </c>
      <c r="CN115" s="38">
        <f t="shared" ref="CN115:CN121" si="515">+CM115*G115</f>
        <v>307.92809230383722</v>
      </c>
      <c r="CO115" s="145">
        <f t="shared" ref="CO115:CO121" si="516">+CN115/AX115</f>
        <v>0.19891995626862868</v>
      </c>
      <c r="CP115" s="62">
        <v>829</v>
      </c>
      <c r="CQ115" s="327"/>
      <c r="CS115" s="271"/>
      <c r="CT115" s="133"/>
      <c r="CU115" s="133"/>
      <c r="CV115" s="133"/>
      <c r="CW115" s="133"/>
      <c r="CX115" s="133"/>
      <c r="CY115" s="133"/>
      <c r="CZ115" s="133"/>
      <c r="DA115" s="133"/>
      <c r="DB115" s="133"/>
      <c r="DC115" s="133"/>
      <c r="DD115" s="133"/>
      <c r="DE115" s="273"/>
      <c r="DF115" s="273"/>
      <c r="DG115" s="273"/>
      <c r="DH115" s="132"/>
      <c r="DI115" s="132"/>
      <c r="DJ115" s="132"/>
      <c r="DK115" s="132"/>
      <c r="DL115" s="132"/>
      <c r="DM115" s="132"/>
      <c r="DN115" s="132"/>
      <c r="DO115" s="132"/>
      <c r="DP115" s="132"/>
      <c r="DQ115" s="132"/>
      <c r="DR115" s="132"/>
      <c r="DS115" s="132"/>
      <c r="DT115" s="276"/>
      <c r="DU115" s="276"/>
      <c r="DV115" s="276"/>
      <c r="DW115" s="279"/>
      <c r="DX115" s="279"/>
      <c r="DY115" s="279"/>
      <c r="DZ115" s="279"/>
      <c r="EA115" s="279"/>
      <c r="EB115" s="279"/>
      <c r="EC115" s="279"/>
      <c r="ED115" s="279"/>
      <c r="EE115" s="279"/>
      <c r="EF115" s="279"/>
      <c r="EG115" s="279"/>
      <c r="EH115" s="279"/>
      <c r="EI115" s="281"/>
      <c r="EJ115" s="281"/>
      <c r="EK115" s="295"/>
      <c r="EL115" s="343">
        <v>61.95</v>
      </c>
      <c r="EM115" s="343">
        <v>3.94</v>
      </c>
      <c r="EN115" s="343">
        <v>8.99</v>
      </c>
      <c r="EO115" s="116"/>
      <c r="EP115" s="116"/>
      <c r="EQ115" s="116"/>
      <c r="ER115" s="116"/>
      <c r="ES115" s="116"/>
      <c r="ET115" s="116"/>
      <c r="EU115" s="116"/>
      <c r="EV115" s="116"/>
      <c r="EW115" s="116"/>
      <c r="EX115" s="116"/>
      <c r="EY115" s="116"/>
      <c r="EZ115" s="116"/>
    </row>
    <row r="116" spans="1:156" ht="26.25" customHeight="1" x14ac:dyDescent="0.3">
      <c r="A116" s="24" t="s">
        <v>303</v>
      </c>
      <c r="B116" s="24" t="s">
        <v>272</v>
      </c>
      <c r="C116" s="1">
        <v>2010</v>
      </c>
      <c r="D116" s="25">
        <v>133</v>
      </c>
      <c r="E116">
        <v>25</v>
      </c>
      <c r="F116" s="25"/>
      <c r="G116" s="25">
        <f t="shared" si="473"/>
        <v>47.166666666666671</v>
      </c>
      <c r="H116" s="25">
        <f t="shared" si="474"/>
        <v>283</v>
      </c>
      <c r="I116" s="25">
        <f>148+1+32</f>
        <v>181</v>
      </c>
      <c r="J116" s="25">
        <f>13+17+34+9</f>
        <v>73</v>
      </c>
      <c r="K116" s="25"/>
      <c r="L116" s="25">
        <f t="shared" si="475"/>
        <v>103.16666666666667</v>
      </c>
      <c r="M116" s="25">
        <f t="shared" si="476"/>
        <v>619</v>
      </c>
      <c r="N116" s="25">
        <f t="shared" si="477"/>
        <v>150.33333333333334</v>
      </c>
      <c r="O116" s="25">
        <f t="shared" si="478"/>
        <v>902</v>
      </c>
      <c r="P116" s="26">
        <f t="shared" si="479"/>
        <v>0.3137472283813747</v>
      </c>
      <c r="Q116" s="26">
        <f t="shared" si="480"/>
        <v>0.46996466431095407</v>
      </c>
      <c r="R116" s="26">
        <f t="shared" si="481"/>
        <v>0.53003533568904593</v>
      </c>
      <c r="S116" s="26">
        <f t="shared" si="482"/>
        <v>0</v>
      </c>
      <c r="T116" s="207">
        <v>49</v>
      </c>
      <c r="U116" s="218">
        <v>0</v>
      </c>
      <c r="V116" s="207">
        <v>154</v>
      </c>
      <c r="W116" s="25">
        <f t="shared" si="383"/>
        <v>448</v>
      </c>
      <c r="X116" s="25">
        <f t="shared" si="487"/>
        <v>-20</v>
      </c>
      <c r="Y116" s="25">
        <f t="shared" si="488"/>
        <v>74.666666666666671</v>
      </c>
      <c r="Z116" s="25">
        <f t="shared" si="489"/>
        <v>-3.3333333333333286</v>
      </c>
      <c r="AA116" s="204">
        <f t="shared" ref="AA116:AA121" si="517">+Z116/Y115</f>
        <v>-4.2735042735042673E-2</v>
      </c>
      <c r="AB116" s="27"/>
      <c r="AC116" s="28">
        <v>16</v>
      </c>
      <c r="AD116" s="28">
        <v>61</v>
      </c>
      <c r="AE116" s="28">
        <v>1</v>
      </c>
      <c r="AF116" s="28">
        <v>0</v>
      </c>
      <c r="AG116" s="29">
        <f t="shared" si="17"/>
        <v>78</v>
      </c>
      <c r="AH116" s="28">
        <v>-3</v>
      </c>
      <c r="AI116" s="28">
        <v>30</v>
      </c>
      <c r="AJ116" s="28">
        <v>1</v>
      </c>
      <c r="AK116" s="28">
        <v>0</v>
      </c>
      <c r="AL116" s="29">
        <f t="shared" si="485"/>
        <v>28</v>
      </c>
      <c r="AM116" s="28">
        <v>0</v>
      </c>
      <c r="AN116" s="28">
        <v>0</v>
      </c>
      <c r="AO116" s="28">
        <v>0</v>
      </c>
      <c r="AP116" s="28">
        <v>0</v>
      </c>
      <c r="AQ116" s="29">
        <f t="shared" si="486"/>
        <v>0</v>
      </c>
      <c r="AR116" s="29">
        <f t="shared" si="483"/>
        <v>246</v>
      </c>
      <c r="AS116" s="29">
        <f t="shared" si="484"/>
        <v>41</v>
      </c>
      <c r="AT116" s="30">
        <v>400</v>
      </c>
      <c r="AU116" s="30">
        <v>1</v>
      </c>
      <c r="AV116" s="30">
        <v>520</v>
      </c>
      <c r="AW116" s="30">
        <v>855</v>
      </c>
      <c r="AX116" s="31">
        <f t="shared" si="390"/>
        <v>1776</v>
      </c>
      <c r="AY116" s="25">
        <f t="shared" si="490"/>
        <v>5534</v>
      </c>
      <c r="AZ116" s="25">
        <f t="shared" si="491"/>
        <v>127.83333333333333</v>
      </c>
      <c r="BA116" s="25">
        <f t="shared" si="492"/>
        <v>767</v>
      </c>
      <c r="BB116" s="31">
        <f t="shared" si="493"/>
        <v>43.290743155149933</v>
      </c>
      <c r="BC116" s="31">
        <f t="shared" si="494"/>
        <v>7.2151238591916558</v>
      </c>
      <c r="BD116" s="27"/>
      <c r="BE116" s="221">
        <f>815+52</f>
        <v>867</v>
      </c>
      <c r="BF116" s="34">
        <v>491</v>
      </c>
      <c r="BG116" s="34">
        <v>0</v>
      </c>
      <c r="BH116" s="32">
        <f t="shared" ref="BH116:BH122" si="518">IF(BG116=0,BF116*$BT116,BG116)</f>
        <v>109.41359841863655</v>
      </c>
      <c r="BI116" s="34">
        <v>2155</v>
      </c>
      <c r="BJ116" s="34">
        <v>0</v>
      </c>
      <c r="BK116" s="32">
        <f t="shared" ref="BK116:BK122" si="519">IF(BJ116=0,BI116*$BT116,BJ116)</f>
        <v>480.2165062976818</v>
      </c>
      <c r="BL116" s="34">
        <v>0</v>
      </c>
      <c r="BM116" s="34"/>
      <c r="BN116" s="32">
        <f t="shared" si="495"/>
        <v>0</v>
      </c>
      <c r="BO116" s="82">
        <v>375</v>
      </c>
      <c r="BP116" s="34">
        <v>0</v>
      </c>
      <c r="BQ116" s="32">
        <f t="shared" si="496"/>
        <v>83.564357244376183</v>
      </c>
      <c r="BR116" s="34">
        <v>5302</v>
      </c>
      <c r="BS116" s="34">
        <v>7465</v>
      </c>
      <c r="BT116" s="201">
        <f t="shared" si="497"/>
        <v>0.22283828598500316</v>
      </c>
      <c r="BU116" s="35">
        <f t="shared" si="498"/>
        <v>1540.1944619606945</v>
      </c>
      <c r="BV116" s="31">
        <f t="shared" si="499"/>
        <v>32.654299546869844</v>
      </c>
      <c r="BW116" s="31">
        <f t="shared" si="500"/>
        <v>5.4423832578116418</v>
      </c>
      <c r="BX116" s="27"/>
      <c r="BY116" s="90">
        <f t="shared" si="501"/>
        <v>3316.1944619606948</v>
      </c>
      <c r="BZ116" s="38">
        <f t="shared" si="502"/>
        <v>331.61944619606948</v>
      </c>
      <c r="CA116" s="140">
        <f t="shared" si="503"/>
        <v>0.18672266114643551</v>
      </c>
      <c r="CB116" s="38">
        <f t="shared" si="504"/>
        <v>7.0308009794219668</v>
      </c>
      <c r="CC116" s="38">
        <f t="shared" si="505"/>
        <v>1.1718001632369945</v>
      </c>
      <c r="CD116" s="38">
        <f t="shared" si="506"/>
        <v>37.653710247349821</v>
      </c>
      <c r="CE116" s="38">
        <f t="shared" si="507"/>
        <v>6.2756183745583041</v>
      </c>
      <c r="CF116" s="38">
        <f t="shared" si="508"/>
        <v>75.945042702019776</v>
      </c>
      <c r="CG116" s="38">
        <f t="shared" si="509"/>
        <v>82.975843681441745</v>
      </c>
      <c r="CH116" s="38">
        <f t="shared" si="510"/>
        <v>113.5987529493696</v>
      </c>
      <c r="CI116" s="38">
        <f t="shared" si="511"/>
        <v>12.657507117003298</v>
      </c>
      <c r="CJ116" s="38">
        <f t="shared" si="512"/>
        <v>13.829307280240293</v>
      </c>
      <c r="CK116" s="38">
        <f t="shared" si="513"/>
        <v>18.933125491561604</v>
      </c>
      <c r="CL116" s="37">
        <v>4</v>
      </c>
      <c r="CM116" s="38">
        <f t="shared" si="514"/>
        <v>7.5945042702019778</v>
      </c>
      <c r="CN116" s="38">
        <f t="shared" si="515"/>
        <v>358.20745141119335</v>
      </c>
      <c r="CO116" s="145">
        <f t="shared" si="516"/>
        <v>0.20169338480359986</v>
      </c>
      <c r="CP116" s="63">
        <v>657</v>
      </c>
      <c r="CQ116" s="327"/>
      <c r="CS116" s="271"/>
      <c r="CT116" s="133"/>
      <c r="CU116" s="133"/>
      <c r="CV116" s="133"/>
      <c r="CW116" s="133"/>
      <c r="CX116" s="133"/>
      <c r="CY116" s="133"/>
      <c r="CZ116" s="133"/>
      <c r="DA116" s="133"/>
      <c r="DB116" s="133"/>
      <c r="DC116" s="133"/>
      <c r="DD116" s="133"/>
      <c r="DE116" s="273"/>
      <c r="DF116" s="273"/>
      <c r="DG116" s="273"/>
      <c r="DH116" s="132"/>
      <c r="DI116" s="132"/>
      <c r="DJ116" s="132"/>
      <c r="DK116" s="132"/>
      <c r="DL116" s="132"/>
      <c r="DM116" s="132"/>
      <c r="DN116" s="132"/>
      <c r="DO116" s="132"/>
      <c r="DP116" s="132"/>
      <c r="DQ116" s="132"/>
      <c r="DR116" s="132"/>
      <c r="DS116" s="132"/>
      <c r="DT116" s="276"/>
      <c r="DU116" s="276"/>
      <c r="DV116" s="276"/>
      <c r="DW116" s="279"/>
      <c r="DX116" s="279"/>
      <c r="DY116" s="279"/>
      <c r="DZ116" s="279"/>
      <c r="EA116" s="279"/>
      <c r="EB116" s="279"/>
      <c r="EC116" s="279"/>
      <c r="ED116" s="279"/>
      <c r="EE116" s="279"/>
      <c r="EF116" s="279"/>
      <c r="EG116" s="279"/>
      <c r="EH116" s="279"/>
      <c r="EI116" s="281"/>
      <c r="EJ116" s="281"/>
      <c r="EK116" s="295"/>
      <c r="EL116" s="343">
        <v>79.48</v>
      </c>
      <c r="EM116" s="343">
        <v>4.37</v>
      </c>
      <c r="EN116" s="343">
        <v>11.83</v>
      </c>
      <c r="EO116" s="116"/>
      <c r="EP116" s="116"/>
      <c r="EQ116" s="116"/>
      <c r="ER116" s="116"/>
      <c r="ES116" s="116"/>
      <c r="ET116" s="116"/>
      <c r="EU116" s="116"/>
      <c r="EV116" s="116"/>
      <c r="EW116" s="116"/>
      <c r="EX116" s="116"/>
      <c r="EY116" s="116"/>
      <c r="EZ116" s="116"/>
    </row>
    <row r="117" spans="1:156" ht="26.25" customHeight="1" x14ac:dyDescent="0.3">
      <c r="A117" s="24" t="s">
        <v>303</v>
      </c>
      <c r="B117" s="24" t="s">
        <v>272</v>
      </c>
      <c r="C117" s="1">
        <v>2011</v>
      </c>
      <c r="D117" s="25">
        <v>119</v>
      </c>
      <c r="E117" s="58">
        <f>27-F117</f>
        <v>24.1</v>
      </c>
      <c r="F117" s="25">
        <f>145*0.05*0.4</f>
        <v>2.9000000000000004</v>
      </c>
      <c r="G117" s="25">
        <f t="shared" si="473"/>
        <v>46.833333333333336</v>
      </c>
      <c r="H117" s="25">
        <f t="shared" si="474"/>
        <v>281</v>
      </c>
      <c r="I117" s="25">
        <f>161+30</f>
        <v>191</v>
      </c>
      <c r="J117" s="25">
        <f>13+2+37+14</f>
        <v>66</v>
      </c>
      <c r="K117" s="25">
        <f>145*0.05*0.6</f>
        <v>4.3499999999999996</v>
      </c>
      <c r="L117" s="25">
        <f t="shared" si="475"/>
        <v>102.18333333333332</v>
      </c>
      <c r="M117" s="25">
        <f t="shared" si="476"/>
        <v>613.1</v>
      </c>
      <c r="N117" s="25">
        <f t="shared" si="477"/>
        <v>149.01666666666665</v>
      </c>
      <c r="O117" s="25">
        <f t="shared" si="478"/>
        <v>894.1</v>
      </c>
      <c r="P117" s="26">
        <f t="shared" si="479"/>
        <v>0.31428251873392238</v>
      </c>
      <c r="Q117" s="26">
        <f t="shared" si="480"/>
        <v>0.42348754448398579</v>
      </c>
      <c r="R117" s="26">
        <f t="shared" si="481"/>
        <v>0.51459074733096088</v>
      </c>
      <c r="S117" s="26">
        <f t="shared" si="482"/>
        <v>6.1921708185053388E-2</v>
      </c>
      <c r="T117" s="207">
        <v>138</v>
      </c>
      <c r="U117" s="218">
        <v>0</v>
      </c>
      <c r="V117" s="207">
        <v>321</v>
      </c>
      <c r="W117" s="25">
        <f t="shared" si="383"/>
        <v>1149</v>
      </c>
      <c r="X117" s="25">
        <f t="shared" si="487"/>
        <v>701</v>
      </c>
      <c r="Y117" s="25">
        <f t="shared" si="488"/>
        <v>191.5</v>
      </c>
      <c r="Z117" s="25">
        <f t="shared" si="489"/>
        <v>116.83333333333333</v>
      </c>
      <c r="AA117" s="204">
        <f t="shared" si="517"/>
        <v>1.5647321428571428</v>
      </c>
      <c r="AB117" s="27"/>
      <c r="AC117" s="28">
        <v>18</v>
      </c>
      <c r="AD117" s="28">
        <v>109</v>
      </c>
      <c r="AE117" s="28">
        <v>119</v>
      </c>
      <c r="AF117" s="28">
        <v>0</v>
      </c>
      <c r="AG117" s="29">
        <f t="shared" si="17"/>
        <v>246</v>
      </c>
      <c r="AH117" s="28">
        <v>16</v>
      </c>
      <c r="AI117" s="28">
        <v>27</v>
      </c>
      <c r="AJ117" s="28">
        <v>89</v>
      </c>
      <c r="AK117" s="28">
        <v>1</v>
      </c>
      <c r="AL117" s="29">
        <f t="shared" si="485"/>
        <v>133</v>
      </c>
      <c r="AM117" s="28">
        <v>0</v>
      </c>
      <c r="AN117" s="28">
        <v>0</v>
      </c>
      <c r="AO117" s="28">
        <v>0</v>
      </c>
      <c r="AP117" s="28">
        <v>0</v>
      </c>
      <c r="AQ117" s="29">
        <f t="shared" si="486"/>
        <v>0</v>
      </c>
      <c r="AR117" s="29">
        <f t="shared" si="483"/>
        <v>1044</v>
      </c>
      <c r="AS117" s="29">
        <f t="shared" si="484"/>
        <v>174</v>
      </c>
      <c r="AT117" s="30">
        <v>3271</v>
      </c>
      <c r="AU117" s="30">
        <v>1782</v>
      </c>
      <c r="AV117" s="30">
        <v>782</v>
      </c>
      <c r="AW117" s="30">
        <v>889</v>
      </c>
      <c r="AX117" s="31">
        <f t="shared" si="390"/>
        <v>6724</v>
      </c>
      <c r="AY117" s="25">
        <f t="shared" si="490"/>
        <v>10048</v>
      </c>
      <c r="AZ117" s="25">
        <f t="shared" si="491"/>
        <v>226.16666666666666</v>
      </c>
      <c r="BA117" s="25">
        <f t="shared" si="492"/>
        <v>1357</v>
      </c>
      <c r="BB117" s="31">
        <f t="shared" si="493"/>
        <v>44.427413411938097</v>
      </c>
      <c r="BC117" s="31">
        <f t="shared" si="494"/>
        <v>7.4045689019896832</v>
      </c>
      <c r="BD117" s="27"/>
      <c r="BE117" s="32">
        <f>961+182</f>
        <v>1143</v>
      </c>
      <c r="BF117" s="34">
        <f>1951+663</f>
        <v>2614</v>
      </c>
      <c r="BG117" s="34">
        <v>0</v>
      </c>
      <c r="BH117" s="32">
        <f t="shared" si="518"/>
        <v>484.54541865957884</v>
      </c>
      <c r="BI117" s="34">
        <v>2893</v>
      </c>
      <c r="BJ117" s="34">
        <v>0</v>
      </c>
      <c r="BK117" s="32">
        <f t="shared" si="519"/>
        <v>536.2623933367106</v>
      </c>
      <c r="BL117" s="34">
        <v>0</v>
      </c>
      <c r="BM117" s="34"/>
      <c r="BN117" s="32">
        <f t="shared" si="495"/>
        <v>0</v>
      </c>
      <c r="BO117" s="219">
        <v>228</v>
      </c>
      <c r="BP117" s="34">
        <v>0</v>
      </c>
      <c r="BQ117" s="32">
        <f t="shared" si="496"/>
        <v>42.263334144752861</v>
      </c>
      <c r="BR117" s="34">
        <v>5635</v>
      </c>
      <c r="BS117" s="34">
        <v>9554</v>
      </c>
      <c r="BT117" s="201">
        <f t="shared" si="497"/>
        <v>0.18536550063488097</v>
      </c>
      <c r="BU117" s="35">
        <f t="shared" si="498"/>
        <v>2206.0711461410424</v>
      </c>
      <c r="BV117" s="31">
        <f t="shared" si="499"/>
        <v>47.104721981659267</v>
      </c>
      <c r="BW117" s="31">
        <f t="shared" si="500"/>
        <v>7.8507869969432109</v>
      </c>
      <c r="BX117" s="27"/>
      <c r="BY117" s="90">
        <f t="shared" si="501"/>
        <v>8930.0711461410428</v>
      </c>
      <c r="BZ117" s="38">
        <f t="shared" si="502"/>
        <v>893.00711461410435</v>
      </c>
      <c r="CA117" s="140">
        <f t="shared" si="503"/>
        <v>0.13280891056128857</v>
      </c>
      <c r="CB117" s="38">
        <f t="shared" si="504"/>
        <v>19.067767571831407</v>
      </c>
      <c r="CC117" s="38">
        <f t="shared" si="505"/>
        <v>3.1779612619719018</v>
      </c>
      <c r="CD117" s="38">
        <f t="shared" si="506"/>
        <v>143.5729537366548</v>
      </c>
      <c r="CE117" s="38">
        <f t="shared" si="507"/>
        <v>23.9288256227758</v>
      </c>
      <c r="CF117" s="38">
        <f t="shared" si="508"/>
        <v>91.532135393597372</v>
      </c>
      <c r="CG117" s="38">
        <f t="shared" si="509"/>
        <v>110.59990296542878</v>
      </c>
      <c r="CH117" s="38">
        <f t="shared" si="510"/>
        <v>235.10508913025217</v>
      </c>
      <c r="CI117" s="38">
        <f t="shared" si="511"/>
        <v>15.255355898932894</v>
      </c>
      <c r="CJ117" s="38">
        <f t="shared" si="512"/>
        <v>18.433317160904796</v>
      </c>
      <c r="CK117" s="38">
        <f t="shared" si="513"/>
        <v>39.184181521708695</v>
      </c>
      <c r="CL117" s="37">
        <v>4</v>
      </c>
      <c r="CM117" s="38">
        <f t="shared" si="514"/>
        <v>9.1532135393597365</v>
      </c>
      <c r="CN117" s="38">
        <f t="shared" si="515"/>
        <v>428.67550076001436</v>
      </c>
      <c r="CO117" s="145">
        <f t="shared" si="516"/>
        <v>6.3753048893517905E-2</v>
      </c>
      <c r="CP117" s="63">
        <v>704</v>
      </c>
      <c r="CQ117" s="327"/>
      <c r="CS117" s="271"/>
      <c r="CT117" s="133"/>
      <c r="CU117" s="133"/>
      <c r="CV117" s="133"/>
      <c r="CW117" s="133"/>
      <c r="CX117" s="133"/>
      <c r="CY117" s="133"/>
      <c r="CZ117" s="133"/>
      <c r="DA117" s="133"/>
      <c r="DB117" s="133"/>
      <c r="DC117" s="133"/>
      <c r="DD117" s="133"/>
      <c r="DE117" s="273"/>
      <c r="DF117" s="273"/>
      <c r="DG117" s="273"/>
      <c r="DH117" s="132"/>
      <c r="DI117" s="132"/>
      <c r="DJ117" s="132"/>
      <c r="DK117" s="132"/>
      <c r="DL117" s="132"/>
      <c r="DM117" s="132"/>
      <c r="DN117" s="132"/>
      <c r="DO117" s="132"/>
      <c r="DP117" s="132"/>
      <c r="DQ117" s="132"/>
      <c r="DR117" s="132"/>
      <c r="DS117" s="132"/>
      <c r="DT117" s="276"/>
      <c r="DU117" s="276"/>
      <c r="DV117" s="276"/>
      <c r="DW117" s="279"/>
      <c r="DX117" s="279"/>
      <c r="DY117" s="279"/>
      <c r="DZ117" s="279"/>
      <c r="EA117" s="279"/>
      <c r="EB117" s="279"/>
      <c r="EC117" s="279"/>
      <c r="ED117" s="279"/>
      <c r="EE117" s="279"/>
      <c r="EF117" s="279"/>
      <c r="EG117" s="279"/>
      <c r="EH117" s="279"/>
      <c r="EI117" s="281"/>
      <c r="EJ117" s="281"/>
      <c r="EK117" s="295"/>
      <c r="EL117" s="343">
        <v>94.88</v>
      </c>
      <c r="EM117" s="343">
        <v>4</v>
      </c>
      <c r="EN117" s="343">
        <v>15.12</v>
      </c>
      <c r="EO117" s="116"/>
      <c r="EP117" s="116"/>
      <c r="EQ117" s="116"/>
      <c r="ER117" s="116"/>
      <c r="ES117" s="116"/>
      <c r="ET117" s="116"/>
      <c r="EU117" s="116"/>
      <c r="EV117" s="116"/>
      <c r="EW117" s="116"/>
      <c r="EX117" s="116"/>
      <c r="EY117" s="116"/>
      <c r="EZ117" s="116"/>
    </row>
    <row r="118" spans="1:156" ht="26.25" customHeight="1" x14ac:dyDescent="0.3">
      <c r="A118" s="39" t="s">
        <v>303</v>
      </c>
      <c r="B118" s="39" t="s">
        <v>272</v>
      </c>
      <c r="C118" s="22">
        <v>2012</v>
      </c>
      <c r="D118" s="25">
        <v>129</v>
      </c>
      <c r="E118" s="58">
        <f>39-F118</f>
        <v>32.498400000000004</v>
      </c>
      <c r="F118" s="217">
        <f>172*0.06*0.63</f>
        <v>6.5015999999999998</v>
      </c>
      <c r="G118" s="25">
        <f t="shared" si="473"/>
        <v>60.5</v>
      </c>
      <c r="H118" s="25">
        <f t="shared" si="474"/>
        <v>363</v>
      </c>
      <c r="I118" s="25">
        <f>157+5+31</f>
        <v>193</v>
      </c>
      <c r="J118" s="25">
        <f>13+15+36+15-K118</f>
        <v>75.181600000000003</v>
      </c>
      <c r="K118" s="25">
        <f>172*0.06*0.37</f>
        <v>3.8184</v>
      </c>
      <c r="L118" s="25">
        <f t="shared" si="475"/>
        <v>111.16666666666666</v>
      </c>
      <c r="M118" s="25">
        <f t="shared" si="476"/>
        <v>667</v>
      </c>
      <c r="N118" s="25">
        <f t="shared" si="477"/>
        <v>171.66666666666666</v>
      </c>
      <c r="O118" s="25">
        <f t="shared" si="478"/>
        <v>1030</v>
      </c>
      <c r="P118" s="26">
        <f t="shared" si="479"/>
        <v>0.35242718446601939</v>
      </c>
      <c r="Q118" s="26">
        <f t="shared" si="480"/>
        <v>0.35537190082644626</v>
      </c>
      <c r="R118" s="26">
        <f t="shared" si="481"/>
        <v>0.5371636363636364</v>
      </c>
      <c r="S118" s="26">
        <f t="shared" si="482"/>
        <v>0.10746446280991735</v>
      </c>
      <c r="T118" s="207">
        <v>218</v>
      </c>
      <c r="U118" s="207">
        <v>59</v>
      </c>
      <c r="V118" s="207">
        <v>497</v>
      </c>
      <c r="W118" s="25">
        <f t="shared" si="383"/>
        <v>2159</v>
      </c>
      <c r="X118" s="25">
        <f t="shared" si="487"/>
        <v>1010</v>
      </c>
      <c r="Y118" s="25">
        <f t="shared" si="488"/>
        <v>359.83333333333331</v>
      </c>
      <c r="Z118" s="25">
        <f t="shared" si="489"/>
        <v>168.33333333333331</v>
      </c>
      <c r="AA118" s="204">
        <f t="shared" si="517"/>
        <v>0.87902523933855514</v>
      </c>
      <c r="AB118" s="27"/>
      <c r="AC118" s="28">
        <v>-229</v>
      </c>
      <c r="AD118" s="28">
        <v>224</v>
      </c>
      <c r="AE118" s="28">
        <v>105</v>
      </c>
      <c r="AF118" s="28">
        <v>0</v>
      </c>
      <c r="AG118" s="29">
        <f t="shared" si="17"/>
        <v>100</v>
      </c>
      <c r="AH118" s="28">
        <v>9</v>
      </c>
      <c r="AI118" s="28">
        <v>52</v>
      </c>
      <c r="AJ118" s="28">
        <v>2</v>
      </c>
      <c r="AK118" s="28">
        <v>9</v>
      </c>
      <c r="AL118" s="29">
        <f t="shared" si="485"/>
        <v>72</v>
      </c>
      <c r="AM118" s="28">
        <v>0</v>
      </c>
      <c r="AN118" s="28">
        <v>0</v>
      </c>
      <c r="AO118" s="28">
        <v>0</v>
      </c>
      <c r="AP118" s="28">
        <v>0</v>
      </c>
      <c r="AQ118" s="29">
        <f t="shared" si="486"/>
        <v>0</v>
      </c>
      <c r="AR118" s="29">
        <f t="shared" si="483"/>
        <v>532</v>
      </c>
      <c r="AS118" s="29">
        <f t="shared" si="484"/>
        <v>88.666666666666671</v>
      </c>
      <c r="AT118" s="30">
        <v>432</v>
      </c>
      <c r="AU118" s="30">
        <v>756</v>
      </c>
      <c r="AV118" s="30">
        <v>1587</v>
      </c>
      <c r="AW118" s="30">
        <v>2469</v>
      </c>
      <c r="AX118" s="31">
        <f t="shared" si="390"/>
        <v>5244</v>
      </c>
      <c r="AY118" s="25">
        <f t="shared" si="490"/>
        <v>13744</v>
      </c>
      <c r="AZ118" s="25">
        <f t="shared" si="491"/>
        <v>303.66666666666669</v>
      </c>
      <c r="BA118" s="25">
        <f t="shared" si="492"/>
        <v>1822</v>
      </c>
      <c r="BB118" s="31">
        <f t="shared" si="493"/>
        <v>45.260153677277714</v>
      </c>
      <c r="BC118" s="31">
        <f t="shared" si="494"/>
        <v>7.5433589462129529</v>
      </c>
      <c r="BD118" s="27"/>
      <c r="BE118" s="40">
        <f>1054+193</f>
        <v>1247</v>
      </c>
      <c r="BF118" s="34">
        <f>2202+699</f>
        <v>2901</v>
      </c>
      <c r="BG118" s="34">
        <v>0</v>
      </c>
      <c r="BH118" s="32">
        <f t="shared" si="518"/>
        <v>762.43544788371582</v>
      </c>
      <c r="BI118" s="34">
        <v>4974</v>
      </c>
      <c r="BJ118" s="34">
        <v>0</v>
      </c>
      <c r="BK118" s="32">
        <f t="shared" si="519"/>
        <v>1307.2574690705283</v>
      </c>
      <c r="BL118" s="34">
        <v>0</v>
      </c>
      <c r="BM118" s="34"/>
      <c r="BN118" s="32">
        <f t="shared" si="495"/>
        <v>0</v>
      </c>
      <c r="BO118" s="219">
        <v>244</v>
      </c>
      <c r="BP118" s="34">
        <v>0</v>
      </c>
      <c r="BQ118" s="32">
        <f t="shared" si="496"/>
        <v>64.127628157058481</v>
      </c>
      <c r="BR118" s="34">
        <v>8004</v>
      </c>
      <c r="BS118" s="34">
        <v>10733</v>
      </c>
      <c r="BT118" s="201">
        <f t="shared" si="497"/>
        <v>0.26281814818466592</v>
      </c>
      <c r="BU118" s="35">
        <f t="shared" si="498"/>
        <v>3380.8205451113026</v>
      </c>
      <c r="BV118" s="31">
        <f t="shared" si="499"/>
        <v>55.881331324153763</v>
      </c>
      <c r="BW118" s="31">
        <f t="shared" si="500"/>
        <v>9.3135552206922938</v>
      </c>
      <c r="BX118" s="27"/>
      <c r="BY118" s="90">
        <f t="shared" si="501"/>
        <v>8624.8205451113026</v>
      </c>
      <c r="BZ118" s="38">
        <f t="shared" si="502"/>
        <v>862.48205451113029</v>
      </c>
      <c r="CA118" s="140">
        <f t="shared" si="503"/>
        <v>0.16447026211119953</v>
      </c>
      <c r="CB118" s="38">
        <f t="shared" si="504"/>
        <v>14.255901727456699</v>
      </c>
      <c r="CC118" s="38">
        <f t="shared" si="505"/>
        <v>2.3759836212427832</v>
      </c>
      <c r="CD118" s="38">
        <f t="shared" si="506"/>
        <v>86.67768595041322</v>
      </c>
      <c r="CE118" s="38">
        <f t="shared" si="507"/>
        <v>14.446280991735538</v>
      </c>
      <c r="CF118" s="38">
        <f t="shared" si="508"/>
        <v>101.14148500143148</v>
      </c>
      <c r="CG118" s="38">
        <f t="shared" si="509"/>
        <v>115.39738672888818</v>
      </c>
      <c r="CH118" s="38">
        <f t="shared" si="510"/>
        <v>187.81917095184468</v>
      </c>
      <c r="CI118" s="38">
        <f t="shared" si="511"/>
        <v>16.856914166905248</v>
      </c>
      <c r="CJ118" s="38">
        <f t="shared" si="512"/>
        <v>19.23289778814803</v>
      </c>
      <c r="CK118" s="38">
        <f t="shared" si="513"/>
        <v>31.303195158640786</v>
      </c>
      <c r="CL118" s="37">
        <v>4</v>
      </c>
      <c r="CM118" s="38">
        <f t="shared" si="514"/>
        <v>10.114148500143148</v>
      </c>
      <c r="CN118" s="38">
        <f t="shared" si="515"/>
        <v>611.90598425866051</v>
      </c>
      <c r="CO118" s="145">
        <f t="shared" si="516"/>
        <v>0.1166868772423075</v>
      </c>
      <c r="CP118" s="63">
        <v>617</v>
      </c>
      <c r="CQ118" s="327"/>
      <c r="CS118" s="269">
        <f>+CT118*CU118</f>
        <v>129.64069999999998</v>
      </c>
      <c r="CT118" s="269">
        <f>0.344*91.25</f>
        <v>31.389999999999997</v>
      </c>
      <c r="CU118" s="133">
        <v>4.13</v>
      </c>
      <c r="CV118" s="269">
        <f>+CW118*CX118</f>
        <v>99.551924999999997</v>
      </c>
      <c r="CW118" s="269">
        <f>0.319*91.25</f>
        <v>29.108750000000001</v>
      </c>
      <c r="CX118" s="133">
        <v>3.42</v>
      </c>
      <c r="CY118" s="269">
        <f>+CZ118*DA118</f>
        <v>120.564975</v>
      </c>
      <c r="CZ118" s="269">
        <f>0.366*91.25</f>
        <v>33.397500000000001</v>
      </c>
      <c r="DA118" s="133">
        <v>3.61</v>
      </c>
      <c r="DB118" s="269">
        <f t="shared" ref="DB118:DC122" si="520">+DE118-CS118-CV118-CY118</f>
        <v>162.46879999999993</v>
      </c>
      <c r="DC118" s="269">
        <f t="shared" si="520"/>
        <v>36.773749999999986</v>
      </c>
      <c r="DD118" s="133">
        <f>+DB118/DC118</f>
        <v>4.4180645161290322</v>
      </c>
      <c r="DE118" s="274">
        <f>+DF118*DG118</f>
        <v>512.2263999999999</v>
      </c>
      <c r="DF118" s="274">
        <f>0.358*365</f>
        <v>130.66999999999999</v>
      </c>
      <c r="DG118" s="273">
        <v>3.92</v>
      </c>
      <c r="DH118" s="272">
        <f>+DI118*DJ118</f>
        <v>736.77440000000001</v>
      </c>
      <c r="DI118" s="272">
        <f>0.083*91.25</f>
        <v>7.5737500000000004</v>
      </c>
      <c r="DJ118" s="296">
        <v>97.28</v>
      </c>
      <c r="DK118" s="272">
        <f>+DL118*DM118</f>
        <v>690.61650000000009</v>
      </c>
      <c r="DL118" s="272">
        <f>0.085*91.25</f>
        <v>7.7562500000000005</v>
      </c>
      <c r="DM118" s="296">
        <v>89.04</v>
      </c>
      <c r="DN118" s="272">
        <f>+DO118*DP118</f>
        <v>803.8413250000001</v>
      </c>
      <c r="DO118" s="272">
        <f>0.098*91.25</f>
        <v>8.9425000000000008</v>
      </c>
      <c r="DP118" s="296">
        <v>89.89</v>
      </c>
      <c r="DQ118" s="272">
        <f t="shared" ref="DQ118:DR122" si="521">+DT118-DN118-DK118-DH118</f>
        <v>967.91977499999962</v>
      </c>
      <c r="DR118" s="272">
        <f t="shared" si="521"/>
        <v>10.767499999999995</v>
      </c>
      <c r="DS118" s="296">
        <f>+DQ118/DR118</f>
        <v>89.892711864406792</v>
      </c>
      <c r="DT118" s="277">
        <f>+DU118*DV118</f>
        <v>3199.152</v>
      </c>
      <c r="DU118" s="277">
        <f>0.096*365</f>
        <v>35.04</v>
      </c>
      <c r="DV118" s="297">
        <v>91.3</v>
      </c>
      <c r="DW118" s="99">
        <f>+DX118*DY118</f>
        <v>32.927562500000001</v>
      </c>
      <c r="DX118" s="99">
        <f>0.007*91.25</f>
        <v>0.63875000000000004</v>
      </c>
      <c r="DY118" s="298">
        <v>51.55</v>
      </c>
      <c r="DZ118" s="99">
        <f>+EA118*EB118</f>
        <v>29.594199999999997</v>
      </c>
      <c r="EA118" s="99">
        <f>0.008*91.25</f>
        <v>0.73</v>
      </c>
      <c r="EB118" s="298">
        <v>40.54</v>
      </c>
      <c r="EC118" s="99">
        <f>+ED118*EE118</f>
        <v>55.3048</v>
      </c>
      <c r="ED118" s="99">
        <f>0.016*91.25</f>
        <v>1.46</v>
      </c>
      <c r="EE118" s="298">
        <v>37.880000000000003</v>
      </c>
      <c r="EF118" s="99">
        <f t="shared" ref="EF118:EG122" si="522">+EI118-EC118-DZ118-DW118</f>
        <v>41.046987499999993</v>
      </c>
      <c r="EG118" s="99">
        <f t="shared" si="522"/>
        <v>1.1862499999999998</v>
      </c>
      <c r="EH118" s="298">
        <f>+EF118/EG118</f>
        <v>34.60230769230769</v>
      </c>
      <c r="EI118" s="282">
        <f>+EJ118*EK118</f>
        <v>158.87354999999999</v>
      </c>
      <c r="EJ118" s="282">
        <f>0.011*365</f>
        <v>4.0149999999999997</v>
      </c>
      <c r="EK118" s="299">
        <v>39.57</v>
      </c>
      <c r="EL118" s="344">
        <v>94.05</v>
      </c>
      <c r="EM118" s="344">
        <v>2.75</v>
      </c>
      <c r="EN118" s="344">
        <v>10.98</v>
      </c>
      <c r="EO118" s="74">
        <v>2.41</v>
      </c>
      <c r="EP118" s="74">
        <v>2.2799999999999998</v>
      </c>
      <c r="EQ118" s="74">
        <v>2.88</v>
      </c>
      <c r="ER118" s="74">
        <v>3.4</v>
      </c>
      <c r="ES118" s="74">
        <v>13.14</v>
      </c>
      <c r="ET118" s="74">
        <v>10.75</v>
      </c>
      <c r="EU118" s="74">
        <v>9.9600000000000009</v>
      </c>
      <c r="EV118" s="74">
        <v>10.08</v>
      </c>
      <c r="EW118" s="74">
        <v>102.98</v>
      </c>
      <c r="EX118" s="74">
        <v>93.29</v>
      </c>
      <c r="EY118" s="74">
        <v>92.17</v>
      </c>
      <c r="EZ118" s="74">
        <v>88.01</v>
      </c>
    </row>
    <row r="119" spans="1:156" ht="26.25" customHeight="1" x14ac:dyDescent="0.3">
      <c r="A119" s="43" t="s">
        <v>303</v>
      </c>
      <c r="B119" s="43" t="s">
        <v>272</v>
      </c>
      <c r="C119" s="53">
        <v>2013</v>
      </c>
      <c r="D119" s="52">
        <v>114</v>
      </c>
      <c r="E119" s="52">
        <v>46</v>
      </c>
      <c r="F119" s="52">
        <v>9</v>
      </c>
      <c r="G119" s="52">
        <f t="shared" si="473"/>
        <v>74</v>
      </c>
      <c r="H119" s="52">
        <f t="shared" si="474"/>
        <v>444</v>
      </c>
      <c r="I119" s="52">
        <f>161+8+9+19</f>
        <v>197</v>
      </c>
      <c r="J119" s="52">
        <f>8+9+5+29+15</f>
        <v>66</v>
      </c>
      <c r="K119" s="52">
        <v>4</v>
      </c>
      <c r="L119" s="52">
        <f t="shared" si="475"/>
        <v>102.83333333333334</v>
      </c>
      <c r="M119" s="52">
        <f t="shared" si="476"/>
        <v>617</v>
      </c>
      <c r="N119" s="52">
        <f t="shared" si="477"/>
        <v>176.83333333333334</v>
      </c>
      <c r="O119" s="52">
        <f t="shared" si="478"/>
        <v>1061</v>
      </c>
      <c r="P119" s="54">
        <f t="shared" si="479"/>
        <v>0.41847313854853913</v>
      </c>
      <c r="Q119" s="54">
        <f t="shared" si="480"/>
        <v>0.25675675675675674</v>
      </c>
      <c r="R119" s="54">
        <f t="shared" si="481"/>
        <v>0.6216216216216216</v>
      </c>
      <c r="S119" s="54">
        <f t="shared" si="482"/>
        <v>0.12162162162162163</v>
      </c>
      <c r="T119" s="208">
        <v>256</v>
      </c>
      <c r="U119" s="208">
        <v>68</v>
      </c>
      <c r="V119" s="208">
        <v>485</v>
      </c>
      <c r="W119" s="52">
        <f t="shared" si="383"/>
        <v>2429</v>
      </c>
      <c r="X119" s="52">
        <f t="shared" si="487"/>
        <v>270</v>
      </c>
      <c r="Y119" s="52">
        <f t="shared" si="488"/>
        <v>404.83333333333331</v>
      </c>
      <c r="Z119" s="52">
        <f t="shared" si="489"/>
        <v>45</v>
      </c>
      <c r="AA119" s="205">
        <f t="shared" si="517"/>
        <v>0.12505789717461788</v>
      </c>
      <c r="AB119" s="44"/>
      <c r="AC119" s="45">
        <v>-4</v>
      </c>
      <c r="AD119" s="45">
        <v>163</v>
      </c>
      <c r="AE119" s="45">
        <v>13</v>
      </c>
      <c r="AF119" s="45">
        <v>0</v>
      </c>
      <c r="AG119" s="55">
        <f t="shared" si="17"/>
        <v>172</v>
      </c>
      <c r="AH119" s="45">
        <v>33</v>
      </c>
      <c r="AI119" s="45">
        <v>112</v>
      </c>
      <c r="AJ119" s="45">
        <v>12</v>
      </c>
      <c r="AK119" s="45">
        <v>0</v>
      </c>
      <c r="AL119" s="55">
        <f t="shared" si="485"/>
        <v>157</v>
      </c>
      <c r="AM119" s="45">
        <v>13</v>
      </c>
      <c r="AN119" s="45">
        <v>25</v>
      </c>
      <c r="AO119" s="45">
        <v>2</v>
      </c>
      <c r="AP119" s="45">
        <v>0</v>
      </c>
      <c r="AQ119" s="55">
        <f t="shared" si="486"/>
        <v>40</v>
      </c>
      <c r="AR119" s="55">
        <f t="shared" si="483"/>
        <v>1354</v>
      </c>
      <c r="AS119" s="55">
        <f t="shared" si="484"/>
        <v>225.66666666666666</v>
      </c>
      <c r="AT119" s="46">
        <v>157</v>
      </c>
      <c r="AU119" s="46">
        <v>51</v>
      </c>
      <c r="AV119" s="46">
        <v>885</v>
      </c>
      <c r="AW119" s="46">
        <v>2876</v>
      </c>
      <c r="AX119" s="50">
        <f t="shared" si="390"/>
        <v>3969</v>
      </c>
      <c r="AY119" s="52">
        <f t="shared" si="490"/>
        <v>15937</v>
      </c>
      <c r="AZ119" s="52">
        <f t="shared" si="491"/>
        <v>488.33333333333337</v>
      </c>
      <c r="BA119" s="52">
        <f t="shared" si="492"/>
        <v>2930</v>
      </c>
      <c r="BB119" s="50">
        <f t="shared" si="493"/>
        <v>32.635494880546069</v>
      </c>
      <c r="BC119" s="50">
        <f t="shared" si="494"/>
        <v>5.4392491467576791</v>
      </c>
      <c r="BD119" s="44"/>
      <c r="BE119" s="47">
        <f>1318+185</f>
        <v>1503</v>
      </c>
      <c r="BF119" s="48">
        <f>1318+185</f>
        <v>1503</v>
      </c>
      <c r="BG119" s="48">
        <v>0</v>
      </c>
      <c r="BH119" s="47">
        <f t="shared" si="518"/>
        <v>509.42782953951047</v>
      </c>
      <c r="BI119" s="48">
        <v>3904</v>
      </c>
      <c r="BJ119" s="48">
        <v>0</v>
      </c>
      <c r="BK119" s="47">
        <f t="shared" si="519"/>
        <v>1323.2243822503319</v>
      </c>
      <c r="BL119" s="48">
        <v>0</v>
      </c>
      <c r="BM119" s="48"/>
      <c r="BN119" s="47">
        <f t="shared" si="495"/>
        <v>0</v>
      </c>
      <c r="BO119" s="219">
        <v>319</v>
      </c>
      <c r="BP119" s="48">
        <v>0</v>
      </c>
      <c r="BQ119" s="47">
        <f t="shared" si="496"/>
        <v>108.12207426686882</v>
      </c>
      <c r="BR119" s="48">
        <v>8860</v>
      </c>
      <c r="BS119" s="48">
        <v>10939</v>
      </c>
      <c r="BT119" s="202">
        <f t="shared" si="497"/>
        <v>0.33894067168297437</v>
      </c>
      <c r="BU119" s="49">
        <f t="shared" si="498"/>
        <v>3443.7742860567114</v>
      </c>
      <c r="BV119" s="50">
        <f t="shared" si="499"/>
        <v>46.537490352117722</v>
      </c>
      <c r="BW119" s="50">
        <f t="shared" si="500"/>
        <v>7.7562483920196206</v>
      </c>
      <c r="BX119" s="44"/>
      <c r="BY119" s="91">
        <f t="shared" si="501"/>
        <v>7412.7742860567114</v>
      </c>
      <c r="BZ119" s="56">
        <f t="shared" si="502"/>
        <v>741.27742860567116</v>
      </c>
      <c r="CA119" s="141">
        <f t="shared" si="503"/>
        <v>0.18676679985025729</v>
      </c>
      <c r="CB119" s="56">
        <f t="shared" si="504"/>
        <v>10.017262548725286</v>
      </c>
      <c r="CC119" s="56">
        <f t="shared" si="505"/>
        <v>1.669543758120881</v>
      </c>
      <c r="CD119" s="56">
        <f t="shared" si="506"/>
        <v>53.635135135135137</v>
      </c>
      <c r="CE119" s="56">
        <f t="shared" si="507"/>
        <v>8.9391891891891895</v>
      </c>
      <c r="CF119" s="56">
        <f t="shared" si="508"/>
        <v>79.172985232663791</v>
      </c>
      <c r="CG119" s="56">
        <f t="shared" si="509"/>
        <v>89.190247781389075</v>
      </c>
      <c r="CH119" s="56">
        <f t="shared" si="510"/>
        <v>132.80812036779892</v>
      </c>
      <c r="CI119" s="56">
        <f t="shared" si="511"/>
        <v>13.1954975387773</v>
      </c>
      <c r="CJ119" s="38">
        <f t="shared" si="512"/>
        <v>14.86504129689818</v>
      </c>
      <c r="CK119" s="56">
        <f t="shared" si="513"/>
        <v>22.134686727966489</v>
      </c>
      <c r="CL119" s="51">
        <v>4</v>
      </c>
      <c r="CM119" s="56">
        <f t="shared" si="514"/>
        <v>7.9172985232663793</v>
      </c>
      <c r="CN119" s="56">
        <f t="shared" si="515"/>
        <v>585.88009072171212</v>
      </c>
      <c r="CO119" s="145">
        <f t="shared" si="516"/>
        <v>0.14761403142396376</v>
      </c>
      <c r="CP119" s="63">
        <v>793</v>
      </c>
      <c r="CQ119" s="327"/>
      <c r="CS119" s="269">
        <f>+CT119*CU119</f>
        <v>119.7565</v>
      </c>
      <c r="CT119" s="269">
        <f>0.34*91.25</f>
        <v>31.025000000000002</v>
      </c>
      <c r="CU119" s="133">
        <v>3.86</v>
      </c>
      <c r="CV119" s="269">
        <f>+CW119*CX119</f>
        <v>120.81865000000002</v>
      </c>
      <c r="CW119" s="269">
        <f>0.316*91.25</f>
        <v>28.835000000000001</v>
      </c>
      <c r="CX119" s="133">
        <v>4.1900000000000004</v>
      </c>
      <c r="CY119" s="269">
        <f>+CZ119*DA119</f>
        <v>95.125387500000002</v>
      </c>
      <c r="CZ119" s="269">
        <f>0.297*91.25</f>
        <v>27.10125</v>
      </c>
      <c r="DA119" s="133">
        <v>3.51</v>
      </c>
      <c r="DB119" s="269">
        <f t="shared" si="520"/>
        <v>101.59866249999995</v>
      </c>
      <c r="DC119" s="269">
        <f t="shared" si="520"/>
        <v>26.918749999999989</v>
      </c>
      <c r="DD119" s="133">
        <f>+DB119/DC119</f>
        <v>3.7742711864406777</v>
      </c>
      <c r="DE119" s="274">
        <f>+DF119*DG119</f>
        <v>437.29919999999998</v>
      </c>
      <c r="DF119" s="274">
        <f>0.312*365</f>
        <v>113.88</v>
      </c>
      <c r="DG119" s="273">
        <v>3.84</v>
      </c>
      <c r="DH119" s="272">
        <f>+DI119*DJ119</f>
        <v>1045.38555</v>
      </c>
      <c r="DI119" s="272">
        <f>0.121*91.25</f>
        <v>11.04125</v>
      </c>
      <c r="DJ119" s="296">
        <v>94.68</v>
      </c>
      <c r="DK119" s="272">
        <f>+DL119*DM119</f>
        <v>1077.890625</v>
      </c>
      <c r="DL119" s="272">
        <f>0.126*91.25</f>
        <v>11.4975</v>
      </c>
      <c r="DM119" s="296">
        <v>93.75</v>
      </c>
      <c r="DN119" s="272">
        <f>+DO119*DP119</f>
        <v>1161.822375</v>
      </c>
      <c r="DO119" s="272">
        <f>0.126*91.25</f>
        <v>11.4975</v>
      </c>
      <c r="DP119" s="296">
        <v>101.05</v>
      </c>
      <c r="DQ119" s="272">
        <f t="shared" si="521"/>
        <v>1046.6995500000003</v>
      </c>
      <c r="DR119" s="272">
        <f t="shared" si="521"/>
        <v>11.953749999999998</v>
      </c>
      <c r="DS119" s="296">
        <f>+DQ119/DR119</f>
        <v>87.562442748091641</v>
      </c>
      <c r="DT119" s="277">
        <f>+DU119*DV119</f>
        <v>4331.7981</v>
      </c>
      <c r="DU119" s="297">
        <f>0.126*365</f>
        <v>45.99</v>
      </c>
      <c r="DV119" s="297">
        <v>94.19</v>
      </c>
      <c r="DW119" s="99">
        <f>+DX119*DY119</f>
        <v>64.750999999999991</v>
      </c>
      <c r="DX119" s="99">
        <f>0.02*91.25</f>
        <v>1.825</v>
      </c>
      <c r="DY119" s="298">
        <v>35.479999999999997</v>
      </c>
      <c r="DZ119" s="99">
        <f>+EA119*EB119</f>
        <v>63.677899999999994</v>
      </c>
      <c r="EA119" s="99">
        <f>0.022*91.25</f>
        <v>2.0074999999999998</v>
      </c>
      <c r="EB119" s="298">
        <v>31.72</v>
      </c>
      <c r="EC119" s="99">
        <f>+ED119*EE119</f>
        <v>76.671899999999994</v>
      </c>
      <c r="ED119" s="99">
        <f>0.024*91.25</f>
        <v>2.19</v>
      </c>
      <c r="EE119" s="298">
        <v>35.01</v>
      </c>
      <c r="EF119" s="99">
        <f t="shared" si="522"/>
        <v>89.731599999999972</v>
      </c>
      <c r="EG119" s="99">
        <f t="shared" si="522"/>
        <v>2.3724999999999996</v>
      </c>
      <c r="EH119" s="298">
        <f>+EF119/EG119</f>
        <v>37.821538461538459</v>
      </c>
      <c r="EI119" s="282">
        <f>+EJ119*EK119</f>
        <v>294.83239999999995</v>
      </c>
      <c r="EJ119" s="282">
        <f>0.023*365</f>
        <v>8.3949999999999996</v>
      </c>
      <c r="EK119" s="299">
        <v>35.119999999999997</v>
      </c>
      <c r="EL119" s="344">
        <v>97.98</v>
      </c>
      <c r="EM119" s="344">
        <v>3.73</v>
      </c>
      <c r="EN119" s="344">
        <v>9.94</v>
      </c>
      <c r="EO119" s="74">
        <v>3.49</v>
      </c>
      <c r="EP119" s="74">
        <v>4.01</v>
      </c>
      <c r="EQ119" s="74">
        <v>3.56</v>
      </c>
      <c r="ER119" s="74">
        <v>3.85</v>
      </c>
      <c r="ES119" s="74">
        <v>9.77</v>
      </c>
      <c r="ET119" s="74">
        <v>9.39</v>
      </c>
      <c r="EU119" s="74">
        <v>10.01</v>
      </c>
      <c r="EV119" s="74">
        <v>10.53</v>
      </c>
      <c r="EW119" s="74">
        <v>94.33</v>
      </c>
      <c r="EX119" s="74">
        <v>94.05</v>
      </c>
      <c r="EY119" s="74">
        <v>105.83</v>
      </c>
      <c r="EZ119" s="74">
        <v>97.44</v>
      </c>
    </row>
    <row r="120" spans="1:156" ht="26.25" customHeight="1" x14ac:dyDescent="0.3">
      <c r="A120" s="43" t="s">
        <v>303</v>
      </c>
      <c r="B120" s="43" t="s">
        <v>272</v>
      </c>
      <c r="C120" s="53">
        <v>2014</v>
      </c>
      <c r="D120" s="52">
        <v>113</v>
      </c>
      <c r="E120" s="52">
        <v>57</v>
      </c>
      <c r="F120" s="52">
        <v>11</v>
      </c>
      <c r="G120" s="52">
        <f t="shared" si="473"/>
        <v>86.833333333333329</v>
      </c>
      <c r="H120" s="52">
        <f t="shared" si="474"/>
        <v>521</v>
      </c>
      <c r="I120" s="52">
        <f>160+1+8+13</f>
        <v>182</v>
      </c>
      <c r="J120" s="52">
        <f>7+3+4+17+15</f>
        <v>46</v>
      </c>
      <c r="K120" s="52">
        <v>4</v>
      </c>
      <c r="L120" s="52">
        <f t="shared" si="475"/>
        <v>80.333333333333329</v>
      </c>
      <c r="M120" s="52">
        <f t="shared" si="476"/>
        <v>482</v>
      </c>
      <c r="N120" s="52">
        <f t="shared" si="477"/>
        <v>167.16666666666666</v>
      </c>
      <c r="O120" s="52">
        <f t="shared" si="478"/>
        <v>1003</v>
      </c>
      <c r="P120" s="54">
        <f t="shared" si="479"/>
        <v>0.51944167497507476</v>
      </c>
      <c r="Q120" s="54">
        <f t="shared" ref="Q120:Q133" si="523">D120/H120</f>
        <v>0.21689059500959693</v>
      </c>
      <c r="R120" s="54">
        <f t="shared" si="481"/>
        <v>0.65642994241842612</v>
      </c>
      <c r="S120" s="54">
        <f t="shared" si="482"/>
        <v>0.12667946257197699</v>
      </c>
      <c r="T120" s="208">
        <v>340</v>
      </c>
      <c r="U120" s="208">
        <v>93</v>
      </c>
      <c r="V120" s="208">
        <v>569</v>
      </c>
      <c r="W120" s="52">
        <f t="shared" si="383"/>
        <v>3167</v>
      </c>
      <c r="X120" s="52">
        <f t="shared" si="487"/>
        <v>738</v>
      </c>
      <c r="Y120" s="52">
        <f t="shared" si="488"/>
        <v>527.83333333333337</v>
      </c>
      <c r="Z120" s="52">
        <f t="shared" si="489"/>
        <v>123.00000000000006</v>
      </c>
      <c r="AA120" s="205">
        <f t="shared" si="517"/>
        <v>0.30382873610539329</v>
      </c>
      <c r="AB120" s="44"/>
      <c r="AC120" s="45">
        <v>-24</v>
      </c>
      <c r="AD120" s="45">
        <v>290</v>
      </c>
      <c r="AE120" s="45">
        <v>5</v>
      </c>
      <c r="AF120" s="45">
        <v>0</v>
      </c>
      <c r="AG120" s="55">
        <f>SUM(AC120:AF120)</f>
        <v>271</v>
      </c>
      <c r="AH120" s="45">
        <v>36</v>
      </c>
      <c r="AI120" s="45">
        <v>153</v>
      </c>
      <c r="AJ120" s="45">
        <v>6</v>
      </c>
      <c r="AK120" s="45">
        <v>2</v>
      </c>
      <c r="AL120" s="55">
        <f>SUM(AH120:AK120)</f>
        <v>197</v>
      </c>
      <c r="AM120" s="45">
        <v>4</v>
      </c>
      <c r="AN120" s="45">
        <v>48</v>
      </c>
      <c r="AO120" s="45">
        <v>0</v>
      </c>
      <c r="AP120" s="45">
        <v>1</v>
      </c>
      <c r="AQ120" s="55">
        <f>SUM(AM120:AP120)</f>
        <v>53</v>
      </c>
      <c r="AR120" s="55">
        <f t="shared" si="483"/>
        <v>1771</v>
      </c>
      <c r="AS120" s="55">
        <f t="shared" si="484"/>
        <v>295.16666666666663</v>
      </c>
      <c r="AT120" s="46">
        <v>202</v>
      </c>
      <c r="AU120" s="46">
        <v>26</v>
      </c>
      <c r="AV120" s="46">
        <v>1140</v>
      </c>
      <c r="AW120" s="46">
        <v>3532</v>
      </c>
      <c r="AX120" s="50">
        <f t="shared" si="390"/>
        <v>4900</v>
      </c>
      <c r="AY120" s="52">
        <f t="shared" si="490"/>
        <v>14113</v>
      </c>
      <c r="AZ120" s="52">
        <f t="shared" si="491"/>
        <v>609.5</v>
      </c>
      <c r="BA120" s="52">
        <f t="shared" si="492"/>
        <v>3657</v>
      </c>
      <c r="BB120" s="50">
        <f t="shared" si="493"/>
        <v>23.15504511894996</v>
      </c>
      <c r="BC120" s="50">
        <f t="shared" si="494"/>
        <v>3.8591741864916598</v>
      </c>
      <c r="BD120" s="44"/>
      <c r="BE120" s="47">
        <f>1544+193</f>
        <v>1737</v>
      </c>
      <c r="BF120" s="48">
        <v>654</v>
      </c>
      <c r="BG120" s="48">
        <v>0</v>
      </c>
      <c r="BH120" s="47">
        <f t="shared" si="518"/>
        <v>268.07800304861945</v>
      </c>
      <c r="BI120" s="48">
        <v>1679</v>
      </c>
      <c r="BJ120" s="48">
        <v>0</v>
      </c>
      <c r="BK120" s="47">
        <f t="shared" si="519"/>
        <v>688.23083657283189</v>
      </c>
      <c r="BL120" s="48">
        <v>0</v>
      </c>
      <c r="BM120" s="48"/>
      <c r="BN120" s="47">
        <f t="shared" si="495"/>
        <v>0</v>
      </c>
      <c r="BO120" s="219">
        <v>309</v>
      </c>
      <c r="BP120" s="48">
        <v>0</v>
      </c>
      <c r="BQ120" s="47">
        <f t="shared" si="496"/>
        <v>126.66070786242112</v>
      </c>
      <c r="BR120" s="48">
        <v>7896</v>
      </c>
      <c r="BS120" s="48">
        <v>10006</v>
      </c>
      <c r="BT120" s="202">
        <f t="shared" si="497"/>
        <v>0.40990520343825604</v>
      </c>
      <c r="BU120" s="49">
        <f t="shared" si="498"/>
        <v>2819.9695474838727</v>
      </c>
      <c r="BV120" s="50">
        <f t="shared" si="499"/>
        <v>32.475656976781643</v>
      </c>
      <c r="BW120" s="50">
        <f t="shared" si="500"/>
        <v>5.4126094961302735</v>
      </c>
      <c r="BX120" s="44"/>
      <c r="BY120" s="91">
        <f t="shared" si="501"/>
        <v>7719.9695474838727</v>
      </c>
      <c r="BZ120" s="56">
        <f t="shared" si="502"/>
        <v>771.99695474838734</v>
      </c>
      <c r="CA120" s="141">
        <f t="shared" si="503"/>
        <v>0.15755039892824232</v>
      </c>
      <c r="CB120" s="56">
        <f t="shared" si="504"/>
        <v>8.8905599395207755</v>
      </c>
      <c r="CC120" s="56">
        <f t="shared" si="505"/>
        <v>1.4817599899201293</v>
      </c>
      <c r="CD120" s="56">
        <f t="shared" si="506"/>
        <v>56.429942418426108</v>
      </c>
      <c r="CE120" s="56">
        <f t="shared" si="507"/>
        <v>9.4049904030710181</v>
      </c>
      <c r="CF120" s="56">
        <f t="shared" si="508"/>
        <v>55.630702095731607</v>
      </c>
      <c r="CG120" s="56">
        <f t="shared" si="509"/>
        <v>64.521262035252377</v>
      </c>
      <c r="CH120" s="56">
        <f t="shared" si="510"/>
        <v>112.06064451415772</v>
      </c>
      <c r="CI120" s="56">
        <f t="shared" si="511"/>
        <v>9.2717836826219333</v>
      </c>
      <c r="CJ120" s="56">
        <f t="shared" si="512"/>
        <v>10.753543672542062</v>
      </c>
      <c r="CK120" s="56">
        <f t="shared" si="513"/>
        <v>18.676774085692951</v>
      </c>
      <c r="CL120" s="51">
        <v>4</v>
      </c>
      <c r="CM120" s="56">
        <f t="shared" si="514"/>
        <v>5.5630702095731603</v>
      </c>
      <c r="CN120" s="56">
        <f t="shared" si="515"/>
        <v>483.05992986460274</v>
      </c>
      <c r="CO120" s="173">
        <f t="shared" si="516"/>
        <v>9.8583659156041378E-2</v>
      </c>
      <c r="CP120" s="334">
        <v>610</v>
      </c>
      <c r="CQ120" s="328"/>
      <c r="CR120" s="82"/>
      <c r="CS120" s="269">
        <f>+CT120*CU120</f>
        <v>144.54000000000002</v>
      </c>
      <c r="CT120" s="269">
        <f>0.3*91.25</f>
        <v>27.375</v>
      </c>
      <c r="CU120" s="133">
        <v>5.28</v>
      </c>
      <c r="CV120" s="269">
        <f>+CW120*CX120</f>
        <v>134.13749999999999</v>
      </c>
      <c r="CW120" s="269">
        <f>0.294*91.25</f>
        <v>26.827499999999997</v>
      </c>
      <c r="CX120" s="133">
        <v>5</v>
      </c>
      <c r="CY120" s="269">
        <f>+CZ120*DA120</f>
        <v>121.7795125</v>
      </c>
      <c r="CZ120" s="269">
        <f>0.317*91.25</f>
        <v>28.92625</v>
      </c>
      <c r="DA120" s="133">
        <v>4.21</v>
      </c>
      <c r="DB120" s="269">
        <f t="shared" si="520"/>
        <v>116.63848750000001</v>
      </c>
      <c r="DC120" s="269">
        <f t="shared" si="520"/>
        <v>30.021250000000006</v>
      </c>
      <c r="DD120" s="133">
        <f>+DB120/DC120</f>
        <v>3.8851975683890574</v>
      </c>
      <c r="DE120" s="274">
        <f>+DF120*DG120</f>
        <v>517.09550000000002</v>
      </c>
      <c r="DF120" s="274">
        <f>0.31*365</f>
        <v>113.15</v>
      </c>
      <c r="DG120" s="273">
        <v>4.57</v>
      </c>
      <c r="DH120" s="272">
        <f>+DI120*DJ120</f>
        <v>1164.5544000000002</v>
      </c>
      <c r="DI120" s="272">
        <f>0.138*91.25</f>
        <v>12.592500000000001</v>
      </c>
      <c r="DJ120" s="296">
        <v>92.48</v>
      </c>
      <c r="DK120" s="272">
        <f>+DL120*DM120</f>
        <v>1322.0710624999999</v>
      </c>
      <c r="DL120" s="272">
        <f>0.151*91.25</f>
        <v>13.778749999999999</v>
      </c>
      <c r="DM120" s="296">
        <v>95.95</v>
      </c>
      <c r="DN120" s="272">
        <f>+DO120*DP120</f>
        <v>1357.9733750000003</v>
      </c>
      <c r="DO120" s="272">
        <f>0.166*91.25</f>
        <v>15.147500000000001</v>
      </c>
      <c r="DP120" s="296">
        <v>89.65</v>
      </c>
      <c r="DQ120" s="272">
        <f t="shared" si="521"/>
        <v>1040.6524124999994</v>
      </c>
      <c r="DR120" s="272">
        <f t="shared" si="521"/>
        <v>15.786249999999999</v>
      </c>
      <c r="DS120" s="296">
        <f>+DQ120/DR120</f>
        <v>65.921445086705162</v>
      </c>
      <c r="DT120" s="277">
        <f>+DU120*DV120</f>
        <v>4885.2512500000003</v>
      </c>
      <c r="DU120" s="297">
        <f>0.157*365</f>
        <v>57.305</v>
      </c>
      <c r="DV120" s="297">
        <v>85.25</v>
      </c>
      <c r="DW120" s="99">
        <f>+DX120*DY120</f>
        <v>98.344687499999992</v>
      </c>
      <c r="DX120" s="99">
        <f>0.025*91.25</f>
        <v>2.28125</v>
      </c>
      <c r="DY120" s="298">
        <v>43.11</v>
      </c>
      <c r="DZ120" s="99">
        <f>+EA120*EB120</f>
        <v>85.738500000000002</v>
      </c>
      <c r="EA120" s="99">
        <f>0.027*91.25</f>
        <v>2.4637500000000001</v>
      </c>
      <c r="EB120" s="298">
        <v>34.799999999999997</v>
      </c>
      <c r="EC120" s="99">
        <f>+ED120*EE120</f>
        <v>95.979487499999991</v>
      </c>
      <c r="ED120" s="99">
        <f>0.031*91.25</f>
        <v>2.8287499999999999</v>
      </c>
      <c r="EE120" s="298">
        <v>33.93</v>
      </c>
      <c r="EF120" s="99">
        <f t="shared" si="522"/>
        <v>73.688025000000067</v>
      </c>
      <c r="EG120" s="99">
        <f t="shared" si="522"/>
        <v>3.0112500000000013</v>
      </c>
      <c r="EH120" s="298">
        <f>+EF120/EG120</f>
        <v>24.470909090909103</v>
      </c>
      <c r="EI120" s="282">
        <f>+EJ120*EK120</f>
        <v>353.75070000000005</v>
      </c>
      <c r="EJ120" s="282">
        <f>0.029*365</f>
        <v>10.585000000000001</v>
      </c>
      <c r="EK120" s="299">
        <v>33.42</v>
      </c>
      <c r="EL120" s="344">
        <v>93.17</v>
      </c>
      <c r="EM120" s="344">
        <v>4.37</v>
      </c>
      <c r="EN120" s="344">
        <v>9.56</v>
      </c>
      <c r="EO120" s="74">
        <v>5.21</v>
      </c>
      <c r="EP120" s="74">
        <v>4.6100000000000003</v>
      </c>
      <c r="EQ120" s="74">
        <v>3.96</v>
      </c>
      <c r="ER120" s="74">
        <v>3.8</v>
      </c>
      <c r="ES120" s="74">
        <v>11.19</v>
      </c>
      <c r="ET120" s="74">
        <v>10.15</v>
      </c>
      <c r="EU120" s="74">
        <v>9.83</v>
      </c>
      <c r="EV120" s="74">
        <v>7.41</v>
      </c>
      <c r="EW120" s="74">
        <v>98.68</v>
      </c>
      <c r="EX120" s="74">
        <v>103.35</v>
      </c>
      <c r="EY120" s="74">
        <v>97.87</v>
      </c>
      <c r="EZ120" s="74">
        <v>73.209999999999994</v>
      </c>
    </row>
    <row r="121" spans="1:156" ht="26.25" customHeight="1" x14ac:dyDescent="0.3">
      <c r="A121" s="43" t="s">
        <v>303</v>
      </c>
      <c r="B121" s="43" t="s">
        <v>272</v>
      </c>
      <c r="C121" s="53">
        <v>2015</v>
      </c>
      <c r="D121" s="52">
        <v>128</v>
      </c>
      <c r="E121" s="52">
        <v>62</v>
      </c>
      <c r="F121" s="52">
        <v>14</v>
      </c>
      <c r="G121" s="52">
        <f t="shared" si="473"/>
        <v>97.333333333333329</v>
      </c>
      <c r="H121" s="52">
        <f t="shared" si="474"/>
        <v>584</v>
      </c>
      <c r="I121" s="52">
        <f>150+8</f>
        <v>158</v>
      </c>
      <c r="J121" s="52">
        <f>7+5+17</f>
        <v>29</v>
      </c>
      <c r="K121" s="52">
        <v>4</v>
      </c>
      <c r="L121" s="52">
        <f>I121/6+J121+K121</f>
        <v>59.333333333333329</v>
      </c>
      <c r="M121" s="52">
        <f>I121+J121*6+K121*6</f>
        <v>356</v>
      </c>
      <c r="N121" s="52">
        <f>G121+L121</f>
        <v>156.66666666666666</v>
      </c>
      <c r="O121" s="52">
        <f>H121+M121</f>
        <v>940</v>
      </c>
      <c r="P121" s="54">
        <f>+H121/O121</f>
        <v>0.62127659574468086</v>
      </c>
      <c r="Q121" s="54">
        <f t="shared" si="523"/>
        <v>0.21917808219178081</v>
      </c>
      <c r="R121" s="54">
        <f t="shared" si="481"/>
        <v>0.63698630136986301</v>
      </c>
      <c r="S121" s="54">
        <f t="shared" si="482"/>
        <v>0.14383561643835618</v>
      </c>
      <c r="T121" s="208">
        <v>253</v>
      </c>
      <c r="U121" s="208">
        <v>80</v>
      </c>
      <c r="V121" s="208">
        <v>511</v>
      </c>
      <c r="W121" s="52">
        <f>+T121*6+U121*6+V121</f>
        <v>2509</v>
      </c>
      <c r="X121" s="52">
        <f t="shared" si="487"/>
        <v>-658</v>
      </c>
      <c r="Y121" s="52">
        <f>+T121+U121+V121/6</f>
        <v>418.16666666666669</v>
      </c>
      <c r="Z121" s="52">
        <f t="shared" si="489"/>
        <v>-109.66666666666669</v>
      </c>
      <c r="AA121" s="205">
        <f t="shared" si="517"/>
        <v>-0.20776760341016737</v>
      </c>
      <c r="AB121" s="44"/>
      <c r="AC121" s="45">
        <v>-191</v>
      </c>
      <c r="AD121" s="45">
        <v>394</v>
      </c>
      <c r="AE121" s="45">
        <v>1</v>
      </c>
      <c r="AF121" s="45">
        <v>0</v>
      </c>
      <c r="AG121" s="55">
        <f>SUM(AC121:AF121)</f>
        <v>204</v>
      </c>
      <c r="AH121" s="45">
        <v>-109</v>
      </c>
      <c r="AI121" s="45">
        <v>122</v>
      </c>
      <c r="AJ121" s="45">
        <v>0</v>
      </c>
      <c r="AK121" s="45">
        <v>1</v>
      </c>
      <c r="AL121" s="55">
        <f>SUM(AH121:AK121)</f>
        <v>14</v>
      </c>
      <c r="AM121" s="45">
        <v>-31</v>
      </c>
      <c r="AN121" s="45">
        <v>57</v>
      </c>
      <c r="AO121" s="45">
        <v>0</v>
      </c>
      <c r="AP121" s="45">
        <v>0</v>
      </c>
      <c r="AQ121" s="55">
        <f>SUM(AM121:AP121)</f>
        <v>26</v>
      </c>
      <c r="AR121" s="55">
        <f t="shared" si="483"/>
        <v>444</v>
      </c>
      <c r="AS121" s="55">
        <f t="shared" si="484"/>
        <v>74</v>
      </c>
      <c r="AT121" s="46">
        <v>61</v>
      </c>
      <c r="AU121" s="46">
        <v>4</v>
      </c>
      <c r="AV121" s="46">
        <v>959</v>
      </c>
      <c r="AW121" s="46">
        <v>1477</v>
      </c>
      <c r="AX121" s="50">
        <f t="shared" si="390"/>
        <v>2501</v>
      </c>
      <c r="AY121" s="52">
        <f>SUM(AX119:AX121)</f>
        <v>11370</v>
      </c>
      <c r="AZ121" s="52">
        <f t="shared" si="491"/>
        <v>594.83333333333326</v>
      </c>
      <c r="BA121" s="52">
        <f t="shared" si="492"/>
        <v>3569</v>
      </c>
      <c r="BB121" s="50">
        <f>AY121/AZ121</f>
        <v>19.114597926590083</v>
      </c>
      <c r="BC121" s="50">
        <f>AY121/BA121</f>
        <v>3.1857663210983467</v>
      </c>
      <c r="BD121" s="44" t="s">
        <v>304</v>
      </c>
      <c r="BE121" s="47">
        <f>1259+47</f>
        <v>1306</v>
      </c>
      <c r="BF121" s="48">
        <v>590</v>
      </c>
      <c r="BG121" s="48">
        <v>0</v>
      </c>
      <c r="BH121" s="47">
        <f t="shared" si="518"/>
        <v>324.80969880080454</v>
      </c>
      <c r="BI121" s="48">
        <v>171</v>
      </c>
      <c r="BJ121" s="48">
        <v>0</v>
      </c>
      <c r="BK121" s="47">
        <f t="shared" si="519"/>
        <v>94.139760160911152</v>
      </c>
      <c r="BL121" s="48">
        <v>0</v>
      </c>
      <c r="BM121" s="48"/>
      <c r="BN121" s="47">
        <f t="shared" si="495"/>
        <v>0</v>
      </c>
      <c r="BO121" s="48">
        <v>358</v>
      </c>
      <c r="BP121" s="48">
        <v>0</v>
      </c>
      <c r="BQ121" s="47">
        <f t="shared" si="496"/>
        <v>197.08791893336954</v>
      </c>
      <c r="BR121" s="48">
        <v>4443</v>
      </c>
      <c r="BS121" s="48">
        <v>5014</v>
      </c>
      <c r="BT121" s="202">
        <f t="shared" si="497"/>
        <v>0.55052491322170261</v>
      </c>
      <c r="BU121" s="49">
        <f t="shared" si="498"/>
        <v>1922.0373778950852</v>
      </c>
      <c r="BV121" s="50">
        <f t="shared" si="499"/>
        <v>19.746959361935808</v>
      </c>
      <c r="BW121" s="50">
        <f t="shared" si="500"/>
        <v>3.2911598936559678</v>
      </c>
      <c r="BX121" s="44"/>
      <c r="BY121" s="91">
        <f t="shared" si="501"/>
        <v>4423.0373778950852</v>
      </c>
      <c r="BZ121" s="56">
        <f>(BY121*0.1)</f>
        <v>442.30373778950855</v>
      </c>
      <c r="CA121" s="141">
        <f t="shared" si="503"/>
        <v>0.17685075481387788</v>
      </c>
      <c r="CB121" s="56">
        <f t="shared" si="504"/>
        <v>4.5442164841387864</v>
      </c>
      <c r="CC121" s="56">
        <f t="shared" si="505"/>
        <v>0.75736941402313107</v>
      </c>
      <c r="CD121" s="56">
        <f t="shared" si="506"/>
        <v>25.695205479452056</v>
      </c>
      <c r="CE121" s="56">
        <f t="shared" si="507"/>
        <v>4.2825342465753424</v>
      </c>
      <c r="CF121" s="56">
        <f t="shared" si="508"/>
        <v>38.861557288525887</v>
      </c>
      <c r="CG121" s="56">
        <f>CB121+CF121</f>
        <v>43.405773772664674</v>
      </c>
      <c r="CH121" s="56">
        <f>CF121+CD121</f>
        <v>64.556762767977943</v>
      </c>
      <c r="CI121" s="56">
        <f t="shared" si="511"/>
        <v>6.4769262147543145</v>
      </c>
      <c r="CJ121" s="56">
        <f>+CI121+CC121</f>
        <v>7.2342956287774456</v>
      </c>
      <c r="CK121" s="56">
        <f>+CI121+CE121</f>
        <v>10.759460461329656</v>
      </c>
      <c r="CL121" s="51">
        <v>4</v>
      </c>
      <c r="CM121" s="56">
        <f t="shared" si="514"/>
        <v>3.8861557288525885</v>
      </c>
      <c r="CN121" s="56">
        <f t="shared" si="515"/>
        <v>378.25249094165196</v>
      </c>
      <c r="CO121" s="173">
        <f t="shared" si="516"/>
        <v>0.15124050017659016</v>
      </c>
      <c r="CP121" s="334">
        <v>437</v>
      </c>
      <c r="CQ121" s="328"/>
      <c r="CR121" s="82"/>
      <c r="CS121" s="270">
        <v>97</v>
      </c>
      <c r="CT121" s="269">
        <f>+CS121/CU121</f>
        <v>32.225913621262464</v>
      </c>
      <c r="CU121" s="133">
        <v>3.01</v>
      </c>
      <c r="CV121" s="269">
        <v>90</v>
      </c>
      <c r="CW121" s="269">
        <f>+CV121/CX121</f>
        <v>32.608695652173914</v>
      </c>
      <c r="CX121" s="133">
        <v>2.76</v>
      </c>
      <c r="CY121" s="269">
        <v>85</v>
      </c>
      <c r="CZ121" s="269">
        <f>+CY121/DA121</f>
        <v>30.90909090909091</v>
      </c>
      <c r="DA121" s="133">
        <v>2.75</v>
      </c>
      <c r="DB121" s="269">
        <f t="shared" si="520"/>
        <v>60.382959999999969</v>
      </c>
      <c r="DC121" s="269">
        <f t="shared" si="520"/>
        <v>29.212299817472701</v>
      </c>
      <c r="DD121" s="133">
        <f>+DB121/DC121</f>
        <v>2.0670388972210678</v>
      </c>
      <c r="DE121" s="274">
        <f>+DF121*DG121</f>
        <v>332.38295999999997</v>
      </c>
      <c r="DF121" s="274">
        <f>0.351*356</f>
        <v>124.95599999999999</v>
      </c>
      <c r="DG121" s="273">
        <v>2.66</v>
      </c>
      <c r="DH121" s="272">
        <f>+DI121*DJ121</f>
        <v>700.98249999999996</v>
      </c>
      <c r="DI121" s="272">
        <f>0.184*91.25</f>
        <v>16.79</v>
      </c>
      <c r="DJ121" s="296">
        <v>41.75</v>
      </c>
      <c r="DK121" s="272">
        <f>+DL121*DM121</f>
        <v>845.23779999999999</v>
      </c>
      <c r="DL121" s="272">
        <f>0.176*91.25</f>
        <v>16.059999999999999</v>
      </c>
      <c r="DM121" s="296">
        <v>52.63</v>
      </c>
      <c r="DN121" s="272">
        <f>+DO121*DP121</f>
        <v>612.11827687499988</v>
      </c>
      <c r="DO121" s="272">
        <f>+((126*0.59)+(23*0.18)+(61*0.87)+(51*0.6))*0.09125</f>
        <v>14.796187499999997</v>
      </c>
      <c r="DP121" s="296">
        <v>41.37</v>
      </c>
      <c r="DQ121" s="272">
        <f t="shared" si="521"/>
        <v>556.71392312500041</v>
      </c>
      <c r="DR121" s="272">
        <f t="shared" si="521"/>
        <v>14.768812500000013</v>
      </c>
      <c r="DS121" s="296">
        <f>+DQ121/DR121</f>
        <v>37.695239419215319</v>
      </c>
      <c r="DT121" s="277">
        <f>+DU121*DV121</f>
        <v>2715.0525000000002</v>
      </c>
      <c r="DU121" s="277">
        <f>0.171*365</f>
        <v>62.415000000000006</v>
      </c>
      <c r="DV121" s="297">
        <v>43.5</v>
      </c>
      <c r="DW121" s="99">
        <f>+DX121*DY121</f>
        <v>51.352762499999997</v>
      </c>
      <c r="DX121" s="99">
        <f>0.039*91.25</f>
        <v>3.5587499999999999</v>
      </c>
      <c r="DY121" s="298">
        <v>14.43</v>
      </c>
      <c r="DZ121" s="99">
        <f>+EA121*EB121</f>
        <v>49.867212499999994</v>
      </c>
      <c r="EA121" s="99">
        <f>0.037*91.25</f>
        <v>3.3762499999999998</v>
      </c>
      <c r="EB121" s="298">
        <v>14.77</v>
      </c>
      <c r="EC121" s="99">
        <f>+ED121*EE121</f>
        <v>50.646816000000008</v>
      </c>
      <c r="ED121" s="99">
        <f>+((126*0.2)+(23*0.28)+(61*0.08)+(51*0.2))*0.09125</f>
        <v>4.2632000000000003</v>
      </c>
      <c r="EE121" s="298">
        <v>11.88</v>
      </c>
      <c r="EF121" s="99">
        <f t="shared" si="522"/>
        <v>38.455158999999995</v>
      </c>
      <c r="EG121" s="99">
        <f t="shared" si="522"/>
        <v>3.0367999999999986</v>
      </c>
      <c r="EH121" s="298">
        <f>+EF121/EG121</f>
        <v>12.663052884615389</v>
      </c>
      <c r="EI121" s="300">
        <f>+EJ121*EK121</f>
        <v>190.32194999999999</v>
      </c>
      <c r="EJ121" s="300">
        <f>0.039*365</f>
        <v>14.234999999999999</v>
      </c>
      <c r="EK121" s="301">
        <v>13.37</v>
      </c>
      <c r="EL121" s="344">
        <v>48.66</v>
      </c>
      <c r="EM121" s="344">
        <v>2.62</v>
      </c>
      <c r="EN121" s="344">
        <v>4.97</v>
      </c>
      <c r="EO121" s="331">
        <v>2.9</v>
      </c>
      <c r="EP121" s="331">
        <v>2.75</v>
      </c>
      <c r="EQ121" s="331">
        <v>2.76</v>
      </c>
      <c r="ER121" s="331">
        <v>2.12</v>
      </c>
      <c r="ES121" s="331">
        <v>5.43</v>
      </c>
      <c r="ET121" s="331">
        <v>5.2</v>
      </c>
      <c r="EU121" s="331">
        <v>4.68</v>
      </c>
      <c r="EV121" s="331">
        <v>4.5999999999999996</v>
      </c>
      <c r="EW121" s="331">
        <v>48.49</v>
      </c>
      <c r="EX121" s="331">
        <v>57.85</v>
      </c>
      <c r="EY121" s="331">
        <v>46.64</v>
      </c>
      <c r="EZ121" s="331">
        <v>41.94</v>
      </c>
    </row>
    <row r="122" spans="1:156" ht="26.25" customHeight="1" x14ac:dyDescent="0.3">
      <c r="A122" s="228" t="s">
        <v>303</v>
      </c>
      <c r="B122" s="228" t="s">
        <v>272</v>
      </c>
      <c r="C122" s="229">
        <v>2016</v>
      </c>
      <c r="D122" s="216">
        <v>115</v>
      </c>
      <c r="E122" s="216">
        <v>48</v>
      </c>
      <c r="F122" s="216">
        <v>14</v>
      </c>
      <c r="G122" s="216">
        <f t="shared" si="473"/>
        <v>81.166666666666671</v>
      </c>
      <c r="H122" s="216">
        <f t="shared" si="474"/>
        <v>487</v>
      </c>
      <c r="I122" s="216">
        <f>278-D122</f>
        <v>163</v>
      </c>
      <c r="J122" s="216">
        <f>61-E122</f>
        <v>13</v>
      </c>
      <c r="K122" s="216">
        <v>4</v>
      </c>
      <c r="L122" s="216">
        <f>I122/6+J122+K122</f>
        <v>44.166666666666671</v>
      </c>
      <c r="M122" s="216">
        <f>I122+J122*6+K122*6</f>
        <v>265</v>
      </c>
      <c r="N122" s="216">
        <f>G122+L122</f>
        <v>125.33333333333334</v>
      </c>
      <c r="O122" s="216">
        <f>H122+M122</f>
        <v>752</v>
      </c>
      <c r="P122" s="302">
        <f>+H122/O122</f>
        <v>0.64760638297872342</v>
      </c>
      <c r="Q122" s="302">
        <f t="shared" si="523"/>
        <v>0.23613963039014374</v>
      </c>
      <c r="R122" s="302">
        <f>E122/G122</f>
        <v>0.59137577002053388</v>
      </c>
      <c r="S122" s="302">
        <f>F122/G122</f>
        <v>0.17248459958932238</v>
      </c>
      <c r="T122" s="209">
        <v>325</v>
      </c>
      <c r="U122" s="209">
        <v>92</v>
      </c>
      <c r="V122" s="209">
        <v>640</v>
      </c>
      <c r="W122" s="216">
        <f>+T122*6+U122*6+V122</f>
        <v>3142</v>
      </c>
      <c r="X122" s="216">
        <f>W122-W121</f>
        <v>633</v>
      </c>
      <c r="Y122" s="216">
        <f>+T122+U122+V122/6</f>
        <v>523.66666666666663</v>
      </c>
      <c r="Z122" s="216">
        <f>Y122-Y121</f>
        <v>105.49999999999994</v>
      </c>
      <c r="AA122" s="206">
        <f>+Z122/Y121</f>
        <v>0.25229174970107598</v>
      </c>
      <c r="AB122" s="230"/>
      <c r="AC122" s="231">
        <v>-146</v>
      </c>
      <c r="AD122" s="231">
        <v>362</v>
      </c>
      <c r="AE122" s="231">
        <v>61</v>
      </c>
      <c r="AF122" s="231">
        <v>0</v>
      </c>
      <c r="AG122" s="303">
        <f>SUM(AC122:AF122)</f>
        <v>277</v>
      </c>
      <c r="AH122" s="231">
        <v>-97</v>
      </c>
      <c r="AI122" s="231">
        <v>189</v>
      </c>
      <c r="AJ122" s="231">
        <v>12</v>
      </c>
      <c r="AK122" s="231">
        <v>0</v>
      </c>
      <c r="AL122" s="303">
        <f>SUM(AH122:AK122)</f>
        <v>104</v>
      </c>
      <c r="AM122" s="231">
        <v>-51</v>
      </c>
      <c r="AN122" s="231">
        <v>54</v>
      </c>
      <c r="AO122" s="231">
        <v>12</v>
      </c>
      <c r="AP122" s="231">
        <v>0</v>
      </c>
      <c r="AQ122" s="303">
        <f>SUM(AM122:AP122)</f>
        <v>15</v>
      </c>
      <c r="AR122" s="303">
        <f t="shared" si="483"/>
        <v>991</v>
      </c>
      <c r="AS122" s="303">
        <f t="shared" si="484"/>
        <v>165.16666666666666</v>
      </c>
      <c r="AT122" s="232">
        <v>642</v>
      </c>
      <c r="AU122" s="232">
        <v>276</v>
      </c>
      <c r="AV122" s="232">
        <v>525</v>
      </c>
      <c r="AW122" s="232">
        <v>456</v>
      </c>
      <c r="AX122" s="215">
        <f t="shared" si="390"/>
        <v>1899</v>
      </c>
      <c r="AY122" s="216">
        <f>SUM(AX120:AX122)</f>
        <v>9300</v>
      </c>
      <c r="AZ122" s="216">
        <f>SUM(AS120:AS122)</f>
        <v>534.33333333333326</v>
      </c>
      <c r="BA122" s="216">
        <f>SUM(AR120:AR122)</f>
        <v>3206</v>
      </c>
      <c r="BB122" s="215">
        <f>AY122/AZ122</f>
        <v>17.404865876481601</v>
      </c>
      <c r="BC122" s="215">
        <f>AY122/BA122</f>
        <v>2.9008109794135994</v>
      </c>
      <c r="BD122" s="230"/>
      <c r="BE122" s="212">
        <f>952+21</f>
        <v>973</v>
      </c>
      <c r="BF122" s="200">
        <v>484</v>
      </c>
      <c r="BG122" s="200"/>
      <c r="BH122" s="212">
        <f t="shared" si="518"/>
        <v>289.12878455072189</v>
      </c>
      <c r="BI122" s="200">
        <v>84</v>
      </c>
      <c r="BJ122" s="200">
        <v>0</v>
      </c>
      <c r="BK122" s="212">
        <f t="shared" si="519"/>
        <v>50.179375831117021</v>
      </c>
      <c r="BL122" s="200">
        <v>0</v>
      </c>
      <c r="BM122" s="200"/>
      <c r="BN122" s="212">
        <v>0</v>
      </c>
      <c r="BO122" s="200">
        <v>402</v>
      </c>
      <c r="BP122" s="200">
        <v>0</v>
      </c>
      <c r="BQ122" s="212">
        <f t="shared" si="496"/>
        <v>240.14415576320289</v>
      </c>
      <c r="BR122" s="200">
        <v>3306</v>
      </c>
      <c r="BS122" s="211">
        <f>+BR122+278</f>
        <v>3584</v>
      </c>
      <c r="BT122" s="203">
        <f>+P122*BR122/BS122</f>
        <v>0.59737352179901215</v>
      </c>
      <c r="BU122" s="220">
        <f>BQ122+BN122+BK122+BH122+BE122</f>
        <v>1552.4523161450418</v>
      </c>
      <c r="BV122" s="215">
        <f>BU122/G122</f>
        <v>19.126722580842404</v>
      </c>
      <c r="BW122" s="215">
        <f>BU122/H122</f>
        <v>3.1877870968070674</v>
      </c>
      <c r="BX122" s="230"/>
      <c r="BY122" s="304">
        <f>BU122+AX122</f>
        <v>3451.4523161450416</v>
      </c>
      <c r="BZ122" s="305">
        <f>(BY122*0.1)</f>
        <v>345.14523161450416</v>
      </c>
      <c r="CA122" s="306">
        <f>+BZ122/AX122</f>
        <v>0.18175104350421492</v>
      </c>
      <c r="CB122" s="305">
        <f>BZ122/G122</f>
        <v>4.2523026482279773</v>
      </c>
      <c r="CC122" s="305">
        <f>BZ122/H122</f>
        <v>0.70871710803799626</v>
      </c>
      <c r="CD122" s="305">
        <f>+$AX122/G122</f>
        <v>23.396303901437371</v>
      </c>
      <c r="CE122" s="305">
        <f>+$AX122/H122</f>
        <v>3.8993839835728954</v>
      </c>
      <c r="CF122" s="305">
        <f>BB122+BV122</f>
        <v>36.531588457324006</v>
      </c>
      <c r="CG122" s="305">
        <f>CB122+CF122</f>
        <v>40.78389110555198</v>
      </c>
      <c r="CH122" s="305">
        <f>CF122+CD122</f>
        <v>59.927892358761376</v>
      </c>
      <c r="CI122" s="305">
        <f>+BC122+BW122</f>
        <v>6.0885980762206664</v>
      </c>
      <c r="CJ122" s="305">
        <f>+CI122+CC122</f>
        <v>6.7973151842586628</v>
      </c>
      <c r="CK122" s="305">
        <f>+CI122+CE122</f>
        <v>9.9879820597935627</v>
      </c>
      <c r="CL122" s="307">
        <v>4</v>
      </c>
      <c r="CM122" s="305">
        <f>+CF122/10</f>
        <v>3.6531588457324005</v>
      </c>
      <c r="CN122" s="305">
        <f>+CM122*G122</f>
        <v>296.5147263119465</v>
      </c>
      <c r="CO122" s="308">
        <f>+CN122/AX122</f>
        <v>0.15614256256553266</v>
      </c>
      <c r="CP122" s="335">
        <v>249</v>
      </c>
      <c r="CQ122" s="329"/>
      <c r="CR122" s="266"/>
      <c r="CS122" s="313">
        <v>57</v>
      </c>
      <c r="CT122" s="313">
        <f>+CS122/CU122</f>
        <v>28.217821782178216</v>
      </c>
      <c r="CU122" s="314">
        <v>2.02</v>
      </c>
      <c r="CV122" s="313">
        <v>55</v>
      </c>
      <c r="CW122" s="313">
        <f>+CV122/CX122</f>
        <v>28.061224489795919</v>
      </c>
      <c r="CX122" s="314">
        <v>1.96</v>
      </c>
      <c r="CY122" s="313">
        <v>78</v>
      </c>
      <c r="CZ122" s="313">
        <f>+CY122/DA122</f>
        <v>29.213483146067418</v>
      </c>
      <c r="DA122" s="314">
        <v>2.67</v>
      </c>
      <c r="DB122" s="313">
        <f t="shared" si="520"/>
        <v>82.771799999999985</v>
      </c>
      <c r="DC122" s="313">
        <f t="shared" si="520"/>
        <v>29.117470581958443</v>
      </c>
      <c r="DD122" s="314">
        <f>+DB122/DC122</f>
        <v>2.8426851077952646</v>
      </c>
      <c r="DE122" s="315">
        <f>+DF122*DG122</f>
        <v>272.77179999999998</v>
      </c>
      <c r="DF122" s="315">
        <f>0.314*365</f>
        <v>114.61</v>
      </c>
      <c r="DG122" s="316">
        <v>2.38</v>
      </c>
      <c r="DH122" s="317">
        <f>+DI122*DJ122</f>
        <v>366.68944812499996</v>
      </c>
      <c r="DI122" s="317">
        <f>+((121*0.58)+(27*0.19)+(57*0.82)+(34*0.6))*0.09125</f>
        <v>12.998562499999998</v>
      </c>
      <c r="DJ122" s="318">
        <v>28.21</v>
      </c>
      <c r="DK122" s="317">
        <f>+DL122*DM122</f>
        <v>489.95857124999998</v>
      </c>
      <c r="DL122" s="317">
        <f>+((109*0.56)+(27*0.21)+(53*0.83)+(35*0.6))*0.09125</f>
        <v>12.017624999999999</v>
      </c>
      <c r="DM122" s="318">
        <v>40.770000000000003</v>
      </c>
      <c r="DN122" s="317">
        <f>+DO122*DP122</f>
        <v>464.554845</v>
      </c>
      <c r="DO122" s="317">
        <f>+((97*0.56)+(41*0.26)+(54*0.81)+(24*0.6))*0.09125</f>
        <v>11.2347</v>
      </c>
      <c r="DP122" s="318">
        <v>41.35</v>
      </c>
      <c r="DQ122" s="317">
        <f t="shared" si="521"/>
        <v>523.02168562500037</v>
      </c>
      <c r="DR122" s="317">
        <f t="shared" si="521"/>
        <v>11.564112500000011</v>
      </c>
      <c r="DS122" s="318">
        <f>+DQ122/DR122</f>
        <v>45.228000473447473</v>
      </c>
      <c r="DT122" s="319">
        <f>+DU122*DV122</f>
        <v>1844.2245500000001</v>
      </c>
      <c r="DU122" s="319">
        <f>0.131*365</f>
        <v>47.815000000000005</v>
      </c>
      <c r="DV122" s="320">
        <v>38.57</v>
      </c>
      <c r="DW122" s="187">
        <f>+DX122*DY122</f>
        <v>33.713224999999994</v>
      </c>
      <c r="DX122" s="187">
        <f>+((121*0.21)+(27*0.26)+(57*0.11)+(34*0.2))*0.09125</f>
        <v>4.1518749999999995</v>
      </c>
      <c r="DY122" s="321">
        <v>8.1199999999999992</v>
      </c>
      <c r="DZ122" s="187">
        <f>+EA122*EB122</f>
        <v>54.612869499999995</v>
      </c>
      <c r="EA122" s="187">
        <f>+((109*0.21)+(27*0.21)+(53*0.09)+(35*0.2))*0.09125</f>
        <v>3.6801124999999999</v>
      </c>
      <c r="EB122" s="321">
        <v>14.84</v>
      </c>
      <c r="EC122" s="187">
        <f>+ED122*EE122</f>
        <v>49.617406499999987</v>
      </c>
      <c r="ED122" s="187">
        <f>+((97*0.23)+(41*0.26)+(54*0.11)+(24*0.2))*0.09125</f>
        <v>3.9885374999999992</v>
      </c>
      <c r="EE122" s="321">
        <v>12.44</v>
      </c>
      <c r="EF122" s="187">
        <f t="shared" si="522"/>
        <v>54.04649900000004</v>
      </c>
      <c r="EG122" s="187">
        <f t="shared" si="522"/>
        <v>2.7794750000000006</v>
      </c>
      <c r="EH122" s="321">
        <f>+EF122/EG122</f>
        <v>19.444858831254113</v>
      </c>
      <c r="EI122" s="310">
        <f>+EJ122*EK122</f>
        <v>191.99</v>
      </c>
      <c r="EJ122" s="310">
        <f>0.04*365</f>
        <v>14.6</v>
      </c>
      <c r="EK122" s="311">
        <v>13.15</v>
      </c>
      <c r="EL122" s="345">
        <v>43.2</v>
      </c>
      <c r="EM122" s="345">
        <v>2.52</v>
      </c>
      <c r="EN122" s="345">
        <v>5.04</v>
      </c>
      <c r="EO122" s="332">
        <v>1.99</v>
      </c>
      <c r="EP122" s="332">
        <v>2.15</v>
      </c>
      <c r="EQ122" s="332">
        <v>2.88</v>
      </c>
      <c r="ER122" s="332">
        <v>3.04</v>
      </c>
      <c r="ES122" s="332">
        <v>4.0199999999999996</v>
      </c>
      <c r="ET122" s="332">
        <v>5</v>
      </c>
      <c r="EU122" s="332">
        <v>5.04</v>
      </c>
      <c r="EV122" s="332">
        <v>6.05</v>
      </c>
      <c r="EW122" s="332">
        <v>33.35</v>
      </c>
      <c r="EX122" s="332">
        <v>45.46</v>
      </c>
      <c r="EY122" s="332">
        <v>44.85</v>
      </c>
      <c r="EZ122" s="332">
        <v>49.14</v>
      </c>
    </row>
    <row r="123" spans="1:156" ht="26.25" customHeight="1" x14ac:dyDescent="0.3">
      <c r="A123" s="24" t="s">
        <v>55</v>
      </c>
      <c r="B123" s="24" t="s">
        <v>56</v>
      </c>
      <c r="C123" s="1">
        <v>2007</v>
      </c>
      <c r="D123" s="25">
        <v>216</v>
      </c>
      <c r="E123" s="25">
        <v>95</v>
      </c>
      <c r="F123" s="25">
        <v>0</v>
      </c>
      <c r="G123" s="25">
        <f t="shared" ref="G123:G159" si="524">D123/6+E123+F123</f>
        <v>131</v>
      </c>
      <c r="H123" s="25">
        <f t="shared" ref="H123:H159" si="525">D123+E123*6+F123*6</f>
        <v>786</v>
      </c>
      <c r="I123" s="25">
        <f>15+30</f>
        <v>45</v>
      </c>
      <c r="J123" s="25">
        <v>69</v>
      </c>
      <c r="K123" s="25">
        <v>0</v>
      </c>
      <c r="L123" s="25">
        <f t="shared" ref="L123:L159" si="526">I123/6+J123+K123</f>
        <v>76.5</v>
      </c>
      <c r="M123" s="25">
        <f t="shared" ref="M123:M159" si="527">I123+J123*6+K123*6</f>
        <v>459</v>
      </c>
      <c r="N123" s="25">
        <f t="shared" si="309"/>
        <v>207.5</v>
      </c>
      <c r="O123" s="25">
        <f t="shared" si="309"/>
        <v>1245</v>
      </c>
      <c r="P123" s="26">
        <f t="shared" ref="P123:P159" si="528">+H123/O123</f>
        <v>0.63132530120481922</v>
      </c>
      <c r="Q123" s="26">
        <f t="shared" si="523"/>
        <v>0.27480916030534353</v>
      </c>
      <c r="R123" s="26">
        <f t="shared" si="385"/>
        <v>0.72519083969465647</v>
      </c>
      <c r="S123" s="26">
        <f t="shared" si="386"/>
        <v>0</v>
      </c>
      <c r="T123" s="207">
        <v>301</v>
      </c>
      <c r="U123" s="207">
        <v>0</v>
      </c>
      <c r="V123" s="207">
        <v>675</v>
      </c>
      <c r="W123" s="25">
        <f t="shared" ref="W123:W130" si="529">+T123*6+U123*6+V123</f>
        <v>2481</v>
      </c>
      <c r="X123" s="25"/>
      <c r="Y123" s="25">
        <f t="shared" ref="Y123:Y130" si="530">+T123+U123+V123/6</f>
        <v>413.5</v>
      </c>
      <c r="Z123" s="25"/>
      <c r="AA123" s="25"/>
      <c r="AB123" s="27"/>
      <c r="AC123" s="28">
        <v>35</v>
      </c>
      <c r="AD123" s="28">
        <v>5</v>
      </c>
      <c r="AE123" s="28">
        <v>18</v>
      </c>
      <c r="AF123" s="28">
        <v>406</v>
      </c>
      <c r="AG123" s="29">
        <f>SUM(AC123:AF123)</f>
        <v>464</v>
      </c>
      <c r="AH123" s="28">
        <v>-20</v>
      </c>
      <c r="AI123" s="28">
        <v>1</v>
      </c>
      <c r="AJ123" s="28">
        <v>47</v>
      </c>
      <c r="AK123" s="28">
        <v>114</v>
      </c>
      <c r="AL123" s="29">
        <f>SUM(AH123:AK123)</f>
        <v>142</v>
      </c>
      <c r="AM123" s="28">
        <v>0</v>
      </c>
      <c r="AN123" s="28">
        <v>0</v>
      </c>
      <c r="AO123" s="28">
        <v>0</v>
      </c>
      <c r="AP123" s="28">
        <v>0</v>
      </c>
      <c r="AQ123" s="29">
        <f>SUM(AM123:AP123)</f>
        <v>0</v>
      </c>
      <c r="AR123" s="29">
        <f t="shared" ref="AR123:AR159" si="531">(AG123)+(AL123*6)+AQ123*6</f>
        <v>1316</v>
      </c>
      <c r="AS123" s="29">
        <f t="shared" ref="AS123:AS159" si="532">AG123/6+AL123+AQ123</f>
        <v>219.33333333333331</v>
      </c>
      <c r="AT123" s="30">
        <v>167</v>
      </c>
      <c r="AU123" s="30">
        <v>626</v>
      </c>
      <c r="AV123" s="30">
        <v>39</v>
      </c>
      <c r="AW123" s="30">
        <v>1268</v>
      </c>
      <c r="AX123" s="31">
        <f t="shared" si="390"/>
        <v>2100</v>
      </c>
      <c r="AY123" s="25"/>
      <c r="AZ123" s="25"/>
      <c r="BA123" s="25"/>
      <c r="BB123" s="31"/>
      <c r="BC123" s="31"/>
      <c r="BD123" s="27"/>
      <c r="BE123" s="32"/>
      <c r="BF123" s="33"/>
      <c r="BG123" s="34"/>
      <c r="BH123" s="32"/>
      <c r="BI123" s="33"/>
      <c r="BJ123" s="34"/>
      <c r="BK123" s="32"/>
      <c r="BL123" s="33"/>
      <c r="BM123" s="34"/>
      <c r="BN123" s="32"/>
      <c r="BO123" s="33"/>
      <c r="BP123" s="34"/>
      <c r="BQ123" s="32"/>
      <c r="BR123" s="34">
        <v>0</v>
      </c>
      <c r="BS123" s="34">
        <v>0</v>
      </c>
      <c r="BT123" s="34"/>
      <c r="BU123" s="35"/>
      <c r="BV123" s="31"/>
      <c r="BW123" s="31"/>
      <c r="BX123" s="27"/>
      <c r="BY123" s="88"/>
      <c r="BZ123" s="36"/>
      <c r="CA123" s="36">
        <f t="shared" ref="CA123:CA151" si="533">+BZ123/AX123</f>
        <v>0</v>
      </c>
      <c r="CB123" s="36"/>
      <c r="CC123" s="36"/>
      <c r="CD123" s="36"/>
      <c r="CE123" s="36"/>
      <c r="CF123" s="36"/>
      <c r="CG123" s="36"/>
      <c r="CH123" s="36"/>
      <c r="CI123" s="36"/>
      <c r="CJ123" s="36"/>
      <c r="CK123" s="36"/>
      <c r="CL123" s="37">
        <v>4</v>
      </c>
      <c r="CM123" s="37"/>
      <c r="CN123" s="37"/>
      <c r="CO123" s="37"/>
      <c r="CP123" s="327"/>
      <c r="CQ123" s="327"/>
      <c r="CS123" s="293"/>
      <c r="CT123" s="227"/>
      <c r="CU123" s="227"/>
      <c r="CV123" s="227"/>
      <c r="CW123" s="227"/>
      <c r="CX123" s="227"/>
      <c r="CY123" s="227"/>
      <c r="CZ123" s="227"/>
      <c r="DA123" s="227"/>
      <c r="DB123" s="227"/>
      <c r="DC123" s="227"/>
      <c r="DD123" s="227"/>
      <c r="DE123" s="275"/>
      <c r="DF123" s="275"/>
      <c r="DG123" s="275"/>
      <c r="DH123" s="226"/>
      <c r="DI123" s="226"/>
      <c r="DJ123" s="226"/>
      <c r="DK123" s="226"/>
      <c r="DL123" s="226"/>
      <c r="DM123" s="226"/>
      <c r="DN123" s="226"/>
      <c r="DO123" s="226"/>
      <c r="DP123" s="226"/>
      <c r="DQ123" s="226"/>
      <c r="DR123" s="226"/>
      <c r="DS123" s="226"/>
      <c r="DT123" s="278"/>
      <c r="DU123" s="278"/>
      <c r="DV123" s="278"/>
      <c r="DW123" s="280"/>
      <c r="DX123" s="280"/>
      <c r="DY123" s="280"/>
      <c r="DZ123" s="280"/>
      <c r="EA123" s="280"/>
      <c r="EB123" s="280"/>
      <c r="EC123" s="280"/>
      <c r="ED123" s="280"/>
      <c r="EE123" s="280"/>
      <c r="EF123" s="280"/>
      <c r="EG123" s="280"/>
      <c r="EH123" s="280"/>
      <c r="EI123" s="283"/>
      <c r="EJ123" s="283"/>
      <c r="EK123" s="294"/>
      <c r="EL123" s="343">
        <v>72.34</v>
      </c>
      <c r="EM123" s="343">
        <v>6.97</v>
      </c>
      <c r="EN123" s="343">
        <v>12.91</v>
      </c>
      <c r="EO123" s="116"/>
      <c r="EP123" s="116"/>
      <c r="EQ123" s="116"/>
      <c r="ER123" s="116"/>
      <c r="ES123" s="116"/>
      <c r="ET123" s="116"/>
      <c r="EU123" s="116"/>
      <c r="EV123" s="116"/>
      <c r="EW123" s="116"/>
      <c r="EX123" s="116"/>
      <c r="EY123" s="116"/>
      <c r="EZ123" s="116"/>
    </row>
    <row r="124" spans="1:156" ht="26.25" customHeight="1" x14ac:dyDescent="0.3">
      <c r="A124" s="24" t="s">
        <v>55</v>
      </c>
      <c r="B124" s="24" t="s">
        <v>56</v>
      </c>
      <c r="C124" s="1">
        <v>2008</v>
      </c>
      <c r="D124" s="25">
        <v>215</v>
      </c>
      <c r="E124" s="25">
        <v>96</v>
      </c>
      <c r="F124" s="25">
        <v>0</v>
      </c>
      <c r="G124" s="25">
        <f t="shared" si="524"/>
        <v>131.83333333333334</v>
      </c>
      <c r="H124" s="25">
        <f t="shared" si="525"/>
        <v>791</v>
      </c>
      <c r="I124" s="25">
        <f>16+76</f>
        <v>92</v>
      </c>
      <c r="J124" s="25">
        <f>28+47</f>
        <v>75</v>
      </c>
      <c r="K124" s="25">
        <v>0</v>
      </c>
      <c r="L124" s="25">
        <f t="shared" si="526"/>
        <v>90.333333333333329</v>
      </c>
      <c r="M124" s="25">
        <f t="shared" si="527"/>
        <v>542</v>
      </c>
      <c r="N124" s="25">
        <f t="shared" si="309"/>
        <v>222.16666666666669</v>
      </c>
      <c r="O124" s="25">
        <f t="shared" si="309"/>
        <v>1333</v>
      </c>
      <c r="P124" s="26">
        <f t="shared" si="528"/>
        <v>0.5933983495873969</v>
      </c>
      <c r="Q124" s="26">
        <f t="shared" si="523"/>
        <v>0.27180783817951959</v>
      </c>
      <c r="R124" s="26">
        <f t="shared" si="385"/>
        <v>0.7281921618204803</v>
      </c>
      <c r="S124" s="26">
        <f t="shared" si="386"/>
        <v>0</v>
      </c>
      <c r="T124" s="207">
        <v>338</v>
      </c>
      <c r="U124" s="207">
        <v>0</v>
      </c>
      <c r="V124" s="207">
        <v>1287</v>
      </c>
      <c r="W124" s="25">
        <f t="shared" si="529"/>
        <v>3315</v>
      </c>
      <c r="X124" s="25">
        <f t="shared" ref="X124:X131" si="534">W124-W123</f>
        <v>834</v>
      </c>
      <c r="Y124" s="25">
        <f t="shared" si="530"/>
        <v>552.5</v>
      </c>
      <c r="Z124" s="25">
        <f t="shared" ref="Z124:Z131" si="535">Y124-Y123</f>
        <v>139</v>
      </c>
      <c r="AA124" s="204">
        <f>+Z124/Y123</f>
        <v>0.33615477629987905</v>
      </c>
      <c r="AB124" s="27"/>
      <c r="AC124" s="28">
        <v>-490</v>
      </c>
      <c r="AD124" s="28">
        <v>76</v>
      </c>
      <c r="AE124" s="28">
        <v>832</v>
      </c>
      <c r="AF124" s="28">
        <v>281</v>
      </c>
      <c r="AG124" s="29">
        <f t="shared" si="17"/>
        <v>699</v>
      </c>
      <c r="AH124" s="28">
        <v>-243</v>
      </c>
      <c r="AI124" s="28">
        <v>11</v>
      </c>
      <c r="AJ124" s="28">
        <v>71</v>
      </c>
      <c r="AK124" s="28">
        <v>99</v>
      </c>
      <c r="AL124" s="29">
        <f t="shared" ref="AL124:AL159" si="536">SUM(AH124:AK124)</f>
        <v>-62</v>
      </c>
      <c r="AM124" s="28">
        <v>0</v>
      </c>
      <c r="AN124" s="28">
        <v>0</v>
      </c>
      <c r="AO124" s="28">
        <v>0</v>
      </c>
      <c r="AP124" s="28">
        <v>0</v>
      </c>
      <c r="AQ124" s="29">
        <f t="shared" ref="AQ124:AQ129" si="537">SUM(AM124:AP124)</f>
        <v>0</v>
      </c>
      <c r="AR124" s="29">
        <f t="shared" si="531"/>
        <v>327</v>
      </c>
      <c r="AS124" s="29">
        <f t="shared" si="532"/>
        <v>54.5</v>
      </c>
      <c r="AT124" s="30">
        <v>1362</v>
      </c>
      <c r="AU124" s="30">
        <v>1819</v>
      </c>
      <c r="AV124" s="30">
        <v>130</v>
      </c>
      <c r="AW124" s="30">
        <v>1740</v>
      </c>
      <c r="AX124" s="31">
        <f t="shared" si="390"/>
        <v>5051</v>
      </c>
      <c r="AY124" s="25"/>
      <c r="AZ124" s="25"/>
      <c r="BA124" s="25"/>
      <c r="BC124" s="31"/>
      <c r="BD124" s="27"/>
      <c r="BE124" s="32"/>
      <c r="BF124" s="33"/>
      <c r="BG124" s="34"/>
      <c r="BH124" s="32"/>
      <c r="BI124" s="33"/>
      <c r="BJ124" s="34"/>
      <c r="BK124" s="32"/>
      <c r="BL124" s="33"/>
      <c r="BM124" s="34"/>
      <c r="BN124" s="32"/>
      <c r="BO124" s="33"/>
      <c r="BP124" s="34"/>
      <c r="BQ124" s="32"/>
      <c r="BR124" s="57">
        <v>0</v>
      </c>
      <c r="BS124" s="57">
        <v>0</v>
      </c>
      <c r="BT124" s="57"/>
      <c r="BU124" s="35"/>
      <c r="BV124" s="31"/>
      <c r="BW124" s="31"/>
      <c r="BX124" s="27"/>
      <c r="BY124" s="88"/>
      <c r="BZ124" s="38"/>
      <c r="CA124" s="36">
        <f t="shared" si="533"/>
        <v>0</v>
      </c>
      <c r="CB124" s="38"/>
      <c r="CC124" s="36"/>
      <c r="CD124" s="36"/>
      <c r="CE124" s="36"/>
      <c r="CF124" s="89"/>
      <c r="CG124" s="36"/>
      <c r="CH124" s="36"/>
      <c r="CI124" s="36"/>
      <c r="CJ124" s="36"/>
      <c r="CK124" s="36"/>
      <c r="CL124" s="37">
        <v>4</v>
      </c>
      <c r="CM124" s="37"/>
      <c r="CN124" s="38"/>
      <c r="CO124" s="38"/>
      <c r="CP124" s="327"/>
      <c r="CQ124" s="327"/>
      <c r="CS124" s="271"/>
      <c r="CT124" s="133"/>
      <c r="CU124" s="133"/>
      <c r="CV124" s="133"/>
      <c r="CW124" s="133"/>
      <c r="CX124" s="133"/>
      <c r="CY124" s="133"/>
      <c r="CZ124" s="133"/>
      <c r="DA124" s="133"/>
      <c r="DB124" s="133"/>
      <c r="DC124" s="133"/>
      <c r="DD124" s="133"/>
      <c r="DE124" s="273"/>
      <c r="DF124" s="273"/>
      <c r="DG124" s="273"/>
      <c r="DH124" s="132"/>
      <c r="DI124" s="132"/>
      <c r="DJ124" s="132"/>
      <c r="DK124" s="132"/>
      <c r="DL124" s="132"/>
      <c r="DM124" s="132"/>
      <c r="DN124" s="132"/>
      <c r="DO124" s="132"/>
      <c r="DP124" s="132"/>
      <c r="DQ124" s="132"/>
      <c r="DR124" s="132"/>
      <c r="DS124" s="132"/>
      <c r="DT124" s="276"/>
      <c r="DU124" s="276"/>
      <c r="DV124" s="276"/>
      <c r="DW124" s="279"/>
      <c r="DX124" s="279"/>
      <c r="DY124" s="279"/>
      <c r="DZ124" s="279"/>
      <c r="EA124" s="279"/>
      <c r="EB124" s="279"/>
      <c r="EC124" s="279"/>
      <c r="ED124" s="279"/>
      <c r="EE124" s="279"/>
      <c r="EF124" s="279"/>
      <c r="EG124" s="279"/>
      <c r="EH124" s="279"/>
      <c r="EI124" s="281"/>
      <c r="EJ124" s="281"/>
      <c r="EK124" s="295"/>
      <c r="EL124" s="343">
        <v>99.67</v>
      </c>
      <c r="EM124" s="343">
        <v>8.86</v>
      </c>
      <c r="EN124" s="343">
        <v>15.2</v>
      </c>
      <c r="EO124" s="116"/>
      <c r="EP124" s="116"/>
      <c r="EQ124" s="116"/>
      <c r="ER124" s="116"/>
      <c r="ES124" s="116"/>
      <c r="ET124" s="116"/>
      <c r="EU124" s="116"/>
      <c r="EV124" s="116"/>
      <c r="EW124" s="116"/>
      <c r="EX124" s="116"/>
      <c r="EY124" s="116"/>
      <c r="EZ124" s="116"/>
    </row>
    <row r="125" spans="1:156" ht="26.25" customHeight="1" x14ac:dyDescent="0.3">
      <c r="A125" s="24" t="s">
        <v>55</v>
      </c>
      <c r="B125" s="24" t="s">
        <v>56</v>
      </c>
      <c r="C125" s="1">
        <v>2009</v>
      </c>
      <c r="D125" s="25">
        <v>232</v>
      </c>
      <c r="E125" s="25">
        <v>81</v>
      </c>
      <c r="F125" s="25">
        <v>18</v>
      </c>
      <c r="G125" s="25">
        <f t="shared" si="524"/>
        <v>137.66666666666666</v>
      </c>
      <c r="H125" s="25">
        <f t="shared" si="525"/>
        <v>826</v>
      </c>
      <c r="I125" s="25">
        <f>17+89</f>
        <v>106</v>
      </c>
      <c r="J125" s="25">
        <v>65</v>
      </c>
      <c r="K125" s="25">
        <v>4</v>
      </c>
      <c r="L125" s="25">
        <f t="shared" si="526"/>
        <v>86.666666666666671</v>
      </c>
      <c r="M125" s="25">
        <f t="shared" si="527"/>
        <v>520</v>
      </c>
      <c r="N125" s="25">
        <f t="shared" si="309"/>
        <v>224.33333333333331</v>
      </c>
      <c r="O125" s="25">
        <f t="shared" si="309"/>
        <v>1346</v>
      </c>
      <c r="P125" s="26">
        <f t="shared" si="528"/>
        <v>0.61367013372956913</v>
      </c>
      <c r="Q125" s="26">
        <f t="shared" si="523"/>
        <v>0.28087167070217917</v>
      </c>
      <c r="R125" s="26">
        <f t="shared" si="385"/>
        <v>0.58837772397094434</v>
      </c>
      <c r="S125" s="26">
        <f t="shared" si="386"/>
        <v>0.13075060532687652</v>
      </c>
      <c r="T125" s="207">
        <v>320</v>
      </c>
      <c r="U125" s="207">
        <v>0</v>
      </c>
      <c r="V125" s="207">
        <v>868</v>
      </c>
      <c r="W125" s="25">
        <f t="shared" si="529"/>
        <v>2788</v>
      </c>
      <c r="X125" s="25">
        <f t="shared" si="534"/>
        <v>-527</v>
      </c>
      <c r="Y125" s="25">
        <f t="shared" si="530"/>
        <v>464.66666666666663</v>
      </c>
      <c r="Z125" s="25">
        <f t="shared" si="535"/>
        <v>-87.833333333333371</v>
      </c>
      <c r="AA125" s="204">
        <f>+Z125/Y124</f>
        <v>-0.15897435897435905</v>
      </c>
      <c r="AB125" s="27"/>
      <c r="AC125" s="28">
        <v>-688</v>
      </c>
      <c r="AD125" s="28">
        <v>362</v>
      </c>
      <c r="AE125" s="28">
        <v>67</v>
      </c>
      <c r="AF125" s="28">
        <v>137</v>
      </c>
      <c r="AG125" s="29">
        <f t="shared" si="17"/>
        <v>-122</v>
      </c>
      <c r="AH125" s="28">
        <v>35</v>
      </c>
      <c r="AI125" s="28">
        <v>16</v>
      </c>
      <c r="AJ125" s="28">
        <v>13</v>
      </c>
      <c r="AK125" s="28">
        <v>47</v>
      </c>
      <c r="AL125" s="29">
        <f t="shared" si="536"/>
        <v>111</v>
      </c>
      <c r="AM125" s="28">
        <v>23</v>
      </c>
      <c r="AN125" s="28">
        <v>13</v>
      </c>
      <c r="AO125" s="28">
        <v>2</v>
      </c>
      <c r="AP125" s="28">
        <v>9</v>
      </c>
      <c r="AQ125" s="29">
        <f t="shared" si="537"/>
        <v>47</v>
      </c>
      <c r="AR125" s="29">
        <f t="shared" si="531"/>
        <v>826</v>
      </c>
      <c r="AS125" s="29">
        <f t="shared" si="532"/>
        <v>137.66666666666669</v>
      </c>
      <c r="AT125" s="30">
        <v>100</v>
      </c>
      <c r="AU125" s="30">
        <v>569</v>
      </c>
      <c r="AV125" s="30">
        <v>131</v>
      </c>
      <c r="AW125" s="30">
        <v>1223</v>
      </c>
      <c r="AX125" s="31">
        <f t="shared" si="390"/>
        <v>2023</v>
      </c>
      <c r="AY125" s="25">
        <f t="shared" ref="AY125:AY130" si="538">SUM(AX123:AX125)</f>
        <v>9174</v>
      </c>
      <c r="AZ125" s="25">
        <f t="shared" ref="AZ125:AZ131" si="539">SUM(AS123:AS125)</f>
        <v>411.5</v>
      </c>
      <c r="BA125" s="25">
        <f t="shared" ref="BA125:BA131" si="540">SUM(AR123:AR125)</f>
        <v>2469</v>
      </c>
      <c r="BB125" s="31">
        <f t="shared" ref="BB125:BB130" si="541">AY125/AZ125</f>
        <v>22.294046172539488</v>
      </c>
      <c r="BC125" s="31">
        <f t="shared" ref="BC125:BC130" si="542">AY125/BA125</f>
        <v>3.7156743620899149</v>
      </c>
      <c r="BD125" s="27"/>
      <c r="BE125" s="198">
        <f>1452+389</f>
        <v>1841</v>
      </c>
      <c r="BF125" s="34">
        <v>1300</v>
      </c>
      <c r="BG125" s="34">
        <v>0</v>
      </c>
      <c r="BH125" s="32">
        <f>IF(BG125=0,BF125*$BT125,BG125)</f>
        <v>730.36697321392705</v>
      </c>
      <c r="BI125" s="34">
        <v>1400</v>
      </c>
      <c r="BJ125" s="34">
        <v>0</v>
      </c>
      <c r="BK125" s="32">
        <f>IF(BJ125=0,BI125*$BT125,BJ125)</f>
        <v>786.54904807653691</v>
      </c>
      <c r="BL125" s="34">
        <v>0</v>
      </c>
      <c r="BM125" s="34">
        <v>399</v>
      </c>
      <c r="BN125" s="32">
        <f>IF(BM125=0,BL125*$BT125,BM125)</f>
        <v>399</v>
      </c>
      <c r="BO125" s="198">
        <v>164</v>
      </c>
      <c r="BP125" s="34">
        <v>0</v>
      </c>
      <c r="BQ125" s="32">
        <f>IF(BP125=0,BO125*$BT125,BP125)</f>
        <v>92.138602774680038</v>
      </c>
      <c r="BR125" s="34">
        <v>11009</v>
      </c>
      <c r="BS125" s="34">
        <v>12025</v>
      </c>
      <c r="BT125" s="201">
        <f t="shared" ref="BT125:BT131" si="543">+P125*BR125/BS125</f>
        <v>0.56182074862609777</v>
      </c>
      <c r="BU125" s="35">
        <f t="shared" ref="BU125:BU131" si="544">BQ125+BN125+BK125+BH125+BE125</f>
        <v>3849.0546240651438</v>
      </c>
      <c r="BV125" s="31">
        <f t="shared" ref="BV125:BV131" si="545">BU125/G125</f>
        <v>27.959234557373929</v>
      </c>
      <c r="BW125" s="31">
        <f t="shared" ref="BW125:BW131" si="546">BU125/H125</f>
        <v>4.6598724262289872</v>
      </c>
      <c r="BX125" s="27"/>
      <c r="BY125" s="90">
        <f t="shared" ref="BY125:BY131" si="547">BU125+AX125</f>
        <v>5872.0546240651438</v>
      </c>
      <c r="BZ125" s="38">
        <f t="shared" ref="BZ125:BZ130" si="548">(BY125*0.1)</f>
        <v>587.20546240651436</v>
      </c>
      <c r="CA125" s="140">
        <f t="shared" si="533"/>
        <v>0.29026468729931504</v>
      </c>
      <c r="CB125" s="38">
        <f t="shared" ref="CB125:CB131" si="549">BZ125/G125</f>
        <v>4.2654149811611219</v>
      </c>
      <c r="CC125" s="38">
        <f t="shared" ref="CC125:CC131" si="550">BZ125/H125</f>
        <v>0.71090249686018692</v>
      </c>
      <c r="CD125" s="38">
        <f t="shared" ref="CD125:CE131" si="551">+$AX125/G125</f>
        <v>14.694915254237289</v>
      </c>
      <c r="CE125" s="38">
        <f t="shared" si="551"/>
        <v>2.4491525423728815</v>
      </c>
      <c r="CF125" s="38">
        <f t="shared" ref="CF125:CF131" si="552">BB125+BV125</f>
        <v>50.253280729913413</v>
      </c>
      <c r="CG125" s="38">
        <f t="shared" ref="CG125:CG130" si="553">CB125+CF125</f>
        <v>54.518695711074535</v>
      </c>
      <c r="CH125" s="38">
        <f t="shared" ref="CH125:CH130" si="554">CF125+CD125</f>
        <v>64.948195984150701</v>
      </c>
      <c r="CI125" s="38">
        <f t="shared" ref="CI125:CI131" si="555">+BC125+BW125</f>
        <v>8.3755467883189016</v>
      </c>
      <c r="CJ125" s="38">
        <f t="shared" ref="CJ125:CJ130" si="556">+CI125+CC125</f>
        <v>9.0864492851790892</v>
      </c>
      <c r="CK125" s="38">
        <f t="shared" ref="CK125:CK130" si="557">+CI125+CE125</f>
        <v>10.824699330691782</v>
      </c>
      <c r="CL125" s="37">
        <v>4</v>
      </c>
      <c r="CM125" s="38">
        <f t="shared" ref="CM125:CM131" si="558">+CF125/10</f>
        <v>5.025328072991341</v>
      </c>
      <c r="CN125" s="38">
        <f t="shared" ref="CN125:CN131" si="559">+CM125*G125</f>
        <v>691.82016471514123</v>
      </c>
      <c r="CO125" s="145">
        <f t="shared" ref="CO125:CO131" si="560">+CN125/AX125</f>
        <v>0.34197734291405896</v>
      </c>
      <c r="CP125" s="62">
        <v>51</v>
      </c>
      <c r="CQ125" s="327"/>
      <c r="CS125" s="271"/>
      <c r="CT125" s="133"/>
      <c r="CU125" s="133"/>
      <c r="CV125" s="133"/>
      <c r="CW125" s="133"/>
      <c r="CX125" s="133"/>
      <c r="CY125" s="133"/>
      <c r="CZ125" s="133"/>
      <c r="DA125" s="133"/>
      <c r="DB125" s="133"/>
      <c r="DC125" s="133"/>
      <c r="DD125" s="133"/>
      <c r="DE125" s="273"/>
      <c r="DF125" s="273"/>
      <c r="DG125" s="273"/>
      <c r="DH125" s="132"/>
      <c r="DI125" s="132"/>
      <c r="DJ125" s="132"/>
      <c r="DK125" s="132"/>
      <c r="DL125" s="132"/>
      <c r="DM125" s="132"/>
      <c r="DN125" s="132"/>
      <c r="DO125" s="132"/>
      <c r="DP125" s="132"/>
      <c r="DQ125" s="132"/>
      <c r="DR125" s="132"/>
      <c r="DS125" s="132"/>
      <c r="DT125" s="276"/>
      <c r="DU125" s="276"/>
      <c r="DV125" s="276"/>
      <c r="DW125" s="279"/>
      <c r="DX125" s="279"/>
      <c r="DY125" s="279"/>
      <c r="DZ125" s="279"/>
      <c r="EA125" s="279"/>
      <c r="EB125" s="279"/>
      <c r="EC125" s="279"/>
      <c r="ED125" s="279"/>
      <c r="EE125" s="279"/>
      <c r="EF125" s="279"/>
      <c r="EG125" s="279"/>
      <c r="EH125" s="279"/>
      <c r="EI125" s="281"/>
      <c r="EJ125" s="281"/>
      <c r="EK125" s="295"/>
      <c r="EL125" s="343">
        <v>61.95</v>
      </c>
      <c r="EM125" s="343">
        <v>3.94</v>
      </c>
      <c r="EN125" s="343">
        <v>8.99</v>
      </c>
      <c r="EO125" s="116"/>
      <c r="EP125" s="116"/>
      <c r="EQ125" s="116"/>
      <c r="ER125" s="116"/>
      <c r="ES125" s="116"/>
      <c r="ET125" s="116"/>
      <c r="EU125" s="116"/>
      <c r="EV125" s="116"/>
      <c r="EW125" s="116"/>
      <c r="EX125" s="116"/>
      <c r="EY125" s="116"/>
      <c r="EZ125" s="116"/>
    </row>
    <row r="126" spans="1:156" ht="26.25" customHeight="1" x14ac:dyDescent="0.3">
      <c r="A126" s="24" t="s">
        <v>55</v>
      </c>
      <c r="B126" s="24" t="s">
        <v>56</v>
      </c>
      <c r="C126" s="1">
        <v>2010</v>
      </c>
      <c r="D126" s="25">
        <v>247</v>
      </c>
      <c r="E126" s="25">
        <v>80</v>
      </c>
      <c r="F126" s="25">
        <v>19</v>
      </c>
      <c r="G126" s="25">
        <f t="shared" si="524"/>
        <v>140.16666666666666</v>
      </c>
      <c r="H126" s="25">
        <f t="shared" si="525"/>
        <v>841</v>
      </c>
      <c r="I126" s="25">
        <f>18+166</f>
        <v>184</v>
      </c>
      <c r="J126" s="25">
        <v>83</v>
      </c>
      <c r="K126" s="25">
        <v>5</v>
      </c>
      <c r="L126" s="25">
        <f t="shared" si="526"/>
        <v>118.66666666666667</v>
      </c>
      <c r="M126" s="25">
        <f t="shared" si="527"/>
        <v>712</v>
      </c>
      <c r="N126" s="25">
        <f t="shared" si="309"/>
        <v>258.83333333333331</v>
      </c>
      <c r="O126" s="25">
        <f t="shared" si="309"/>
        <v>1553</v>
      </c>
      <c r="P126" s="26">
        <f t="shared" si="528"/>
        <v>0.54153251770766264</v>
      </c>
      <c r="Q126" s="26">
        <f t="shared" si="523"/>
        <v>0.29369797859690844</v>
      </c>
      <c r="R126" s="26">
        <f t="shared" si="385"/>
        <v>0.57074910820451852</v>
      </c>
      <c r="S126" s="26">
        <f t="shared" si="386"/>
        <v>0.13555291319857313</v>
      </c>
      <c r="T126" s="207">
        <v>408</v>
      </c>
      <c r="U126" s="207">
        <v>0</v>
      </c>
      <c r="V126" s="207">
        <v>1027</v>
      </c>
      <c r="W126" s="25">
        <f t="shared" si="529"/>
        <v>3475</v>
      </c>
      <c r="X126" s="25">
        <f t="shared" si="534"/>
        <v>687</v>
      </c>
      <c r="Y126" s="25">
        <f t="shared" si="530"/>
        <v>579.16666666666663</v>
      </c>
      <c r="Z126" s="25">
        <f t="shared" si="535"/>
        <v>114.5</v>
      </c>
      <c r="AA126" s="204">
        <f t="shared" ref="AA126:AA131" si="561">+Z126/Y125</f>
        <v>0.24641319942611192</v>
      </c>
      <c r="AB126" s="27"/>
      <c r="AC126" s="28">
        <v>-55</v>
      </c>
      <c r="AD126" s="28">
        <v>7</v>
      </c>
      <c r="AE126" s="28">
        <v>186</v>
      </c>
      <c r="AF126" s="28">
        <v>344</v>
      </c>
      <c r="AG126" s="29">
        <f t="shared" si="17"/>
        <v>482</v>
      </c>
      <c r="AH126" s="28">
        <v>0</v>
      </c>
      <c r="AI126" s="28">
        <v>1</v>
      </c>
      <c r="AJ126" s="28">
        <v>72</v>
      </c>
      <c r="AK126" s="28">
        <v>82</v>
      </c>
      <c r="AL126" s="29">
        <f t="shared" si="536"/>
        <v>155</v>
      </c>
      <c r="AM126" s="28">
        <v>8</v>
      </c>
      <c r="AN126" s="28">
        <v>0</v>
      </c>
      <c r="AO126" s="28">
        <v>11</v>
      </c>
      <c r="AP126" s="28">
        <v>16</v>
      </c>
      <c r="AQ126" s="29">
        <f t="shared" si="537"/>
        <v>35</v>
      </c>
      <c r="AR126" s="29">
        <f t="shared" si="531"/>
        <v>1622</v>
      </c>
      <c r="AS126" s="29">
        <f t="shared" si="532"/>
        <v>270.33333333333331</v>
      </c>
      <c r="AT126" s="30">
        <v>2290</v>
      </c>
      <c r="AU126" s="30">
        <v>2084</v>
      </c>
      <c r="AV126" s="30">
        <v>177</v>
      </c>
      <c r="AW126" s="30">
        <v>1674</v>
      </c>
      <c r="AX126" s="31">
        <f t="shared" si="390"/>
        <v>6225</v>
      </c>
      <c r="AY126" s="25">
        <f t="shared" si="538"/>
        <v>13299</v>
      </c>
      <c r="AZ126" s="25">
        <f t="shared" si="539"/>
        <v>462.5</v>
      </c>
      <c r="BA126" s="25">
        <f t="shared" si="540"/>
        <v>2775</v>
      </c>
      <c r="BB126" s="31">
        <f t="shared" si="541"/>
        <v>28.754594594594593</v>
      </c>
      <c r="BC126" s="31">
        <f t="shared" si="542"/>
        <v>4.7924324324324328</v>
      </c>
      <c r="BD126" s="27"/>
      <c r="BE126" s="198">
        <f>1757+432</f>
        <v>2189</v>
      </c>
      <c r="BF126" s="34">
        <v>1396</v>
      </c>
      <c r="BG126" s="34">
        <v>0</v>
      </c>
      <c r="BH126" s="32">
        <f t="shared" ref="BH126:BH132" si="562">IF(BG126=0,BF126*$BT126,BG126)</f>
        <v>685.35986784919351</v>
      </c>
      <c r="BI126" s="34">
        <v>2400</v>
      </c>
      <c r="BJ126" s="34">
        <v>0</v>
      </c>
      <c r="BK126" s="32">
        <f t="shared" ref="BK126:BK132" si="563">IF(BJ126=0,BI126*$BT126,BJ126)</f>
        <v>1178.2691137808486</v>
      </c>
      <c r="BL126" s="34">
        <v>0</v>
      </c>
      <c r="BM126" s="34">
        <v>454</v>
      </c>
      <c r="BN126" s="32">
        <f t="shared" ref="BN126:BN132" si="564">IF(BM126=0,BL126*$BT126,BM126)</f>
        <v>454</v>
      </c>
      <c r="BO126" s="198">
        <v>161</v>
      </c>
      <c r="BP126" s="34">
        <v>0</v>
      </c>
      <c r="BQ126" s="32">
        <f t="shared" ref="BQ126:BQ132" si="565">IF(BP126=0,BO126*$BT126,BP126)</f>
        <v>79.042219716131925</v>
      </c>
      <c r="BR126" s="34">
        <v>14276</v>
      </c>
      <c r="BS126" s="34">
        <v>15747</v>
      </c>
      <c r="BT126" s="201">
        <f t="shared" si="543"/>
        <v>0.49094546407535355</v>
      </c>
      <c r="BU126" s="35">
        <f t="shared" si="544"/>
        <v>4585.6712013461738</v>
      </c>
      <c r="BV126" s="31">
        <f t="shared" si="545"/>
        <v>32.715846858593395</v>
      </c>
      <c r="BW126" s="31">
        <f t="shared" si="546"/>
        <v>5.4526411430988988</v>
      </c>
      <c r="BX126" s="27"/>
      <c r="BY126" s="90">
        <f t="shared" si="547"/>
        <v>10810.671201346173</v>
      </c>
      <c r="BZ126" s="38">
        <f t="shared" si="548"/>
        <v>1081.0671201346174</v>
      </c>
      <c r="CA126" s="140">
        <f t="shared" si="533"/>
        <v>0.17366540082483814</v>
      </c>
      <c r="CB126" s="38">
        <f t="shared" si="549"/>
        <v>7.7127261840757493</v>
      </c>
      <c r="CC126" s="38">
        <f t="shared" si="550"/>
        <v>1.2854543640126248</v>
      </c>
      <c r="CD126" s="38">
        <f t="shared" si="551"/>
        <v>44.411414982164096</v>
      </c>
      <c r="CE126" s="38">
        <f t="shared" si="551"/>
        <v>7.4019024970273488</v>
      </c>
      <c r="CF126" s="38">
        <f t="shared" si="552"/>
        <v>61.470441453187988</v>
      </c>
      <c r="CG126" s="38">
        <f t="shared" si="553"/>
        <v>69.183167637263736</v>
      </c>
      <c r="CH126" s="38">
        <f t="shared" si="554"/>
        <v>105.88185643535209</v>
      </c>
      <c r="CI126" s="38">
        <f t="shared" si="555"/>
        <v>10.245073575531332</v>
      </c>
      <c r="CJ126" s="38">
        <f t="shared" si="556"/>
        <v>11.530527939543957</v>
      </c>
      <c r="CK126" s="38">
        <f t="shared" si="557"/>
        <v>17.64697607255868</v>
      </c>
      <c r="CL126" s="37">
        <v>4</v>
      </c>
      <c r="CM126" s="38">
        <f t="shared" si="558"/>
        <v>6.1470441453187989</v>
      </c>
      <c r="CN126" s="38">
        <f t="shared" si="559"/>
        <v>861.61068770218492</v>
      </c>
      <c r="CO126" s="145">
        <f t="shared" si="560"/>
        <v>0.13841135545416625</v>
      </c>
      <c r="CP126" s="63">
        <v>73</v>
      </c>
      <c r="CQ126" s="327"/>
      <c r="CS126" s="271"/>
      <c r="CT126" s="133"/>
      <c r="CU126" s="133"/>
      <c r="CV126" s="133"/>
      <c r="CW126" s="133"/>
      <c r="CX126" s="133"/>
      <c r="CY126" s="133"/>
      <c r="CZ126" s="133"/>
      <c r="DA126" s="133"/>
      <c r="DB126" s="133"/>
      <c r="DC126" s="133"/>
      <c r="DD126" s="133"/>
      <c r="DE126" s="273"/>
      <c r="DF126" s="273"/>
      <c r="DG126" s="273"/>
      <c r="DH126" s="132"/>
      <c r="DI126" s="132"/>
      <c r="DJ126" s="132"/>
      <c r="DK126" s="132"/>
      <c r="DL126" s="132"/>
      <c r="DM126" s="132"/>
      <c r="DN126" s="132"/>
      <c r="DO126" s="132"/>
      <c r="DP126" s="132"/>
      <c r="DQ126" s="132"/>
      <c r="DR126" s="132"/>
      <c r="DS126" s="132"/>
      <c r="DT126" s="276"/>
      <c r="DU126" s="276"/>
      <c r="DV126" s="276"/>
      <c r="DW126" s="279"/>
      <c r="DX126" s="279"/>
      <c r="DY126" s="279"/>
      <c r="DZ126" s="279"/>
      <c r="EA126" s="279"/>
      <c r="EB126" s="279"/>
      <c r="EC126" s="279"/>
      <c r="ED126" s="279"/>
      <c r="EE126" s="279"/>
      <c r="EF126" s="279"/>
      <c r="EG126" s="279"/>
      <c r="EH126" s="279"/>
      <c r="EI126" s="281"/>
      <c r="EJ126" s="281"/>
      <c r="EK126" s="295"/>
      <c r="EL126" s="343">
        <v>79.48</v>
      </c>
      <c r="EM126" s="343">
        <v>4.37</v>
      </c>
      <c r="EN126" s="343">
        <v>11.83</v>
      </c>
      <c r="EO126" s="116"/>
      <c r="EP126" s="116"/>
      <c r="EQ126" s="116"/>
      <c r="ER126" s="116"/>
      <c r="ES126" s="116"/>
      <c r="ET126" s="116"/>
      <c r="EU126" s="116"/>
      <c r="EV126" s="116"/>
      <c r="EW126" s="116"/>
      <c r="EX126" s="116"/>
      <c r="EY126" s="116"/>
      <c r="EZ126" s="116"/>
    </row>
    <row r="127" spans="1:156" ht="26.25" customHeight="1" x14ac:dyDescent="0.3">
      <c r="A127" s="24" t="s">
        <v>55</v>
      </c>
      <c r="B127" s="24" t="s">
        <v>56</v>
      </c>
      <c r="C127" s="1">
        <v>2011</v>
      </c>
      <c r="D127" s="25">
        <v>285</v>
      </c>
      <c r="E127" s="25">
        <v>84</v>
      </c>
      <c r="F127" s="25">
        <v>25</v>
      </c>
      <c r="G127" s="25">
        <f t="shared" si="524"/>
        <v>156.5</v>
      </c>
      <c r="H127" s="25">
        <f t="shared" si="525"/>
        <v>939</v>
      </c>
      <c r="I127" s="25">
        <f>6+156</f>
        <v>162</v>
      </c>
      <c r="J127" s="25">
        <f>11+69</f>
        <v>80</v>
      </c>
      <c r="K127" s="25">
        <v>4</v>
      </c>
      <c r="L127" s="25">
        <f t="shared" si="526"/>
        <v>111</v>
      </c>
      <c r="M127" s="25">
        <f t="shared" si="527"/>
        <v>666</v>
      </c>
      <c r="N127" s="25">
        <f t="shared" si="309"/>
        <v>267.5</v>
      </c>
      <c r="O127" s="25">
        <f t="shared" si="309"/>
        <v>1605</v>
      </c>
      <c r="P127" s="26">
        <f t="shared" si="528"/>
        <v>0.58504672897196264</v>
      </c>
      <c r="Q127" s="26">
        <f t="shared" si="523"/>
        <v>0.30351437699680511</v>
      </c>
      <c r="R127" s="26">
        <f t="shared" si="385"/>
        <v>0.53674121405750796</v>
      </c>
      <c r="S127" s="26">
        <f t="shared" si="386"/>
        <v>0.15974440894568689</v>
      </c>
      <c r="T127" s="207">
        <v>239</v>
      </c>
      <c r="U127" s="207">
        <v>35</v>
      </c>
      <c r="V127" s="207">
        <v>726</v>
      </c>
      <c r="W127" s="25">
        <f t="shared" si="529"/>
        <v>2370</v>
      </c>
      <c r="X127" s="25">
        <f t="shared" si="534"/>
        <v>-1105</v>
      </c>
      <c r="Y127" s="25">
        <f t="shared" si="530"/>
        <v>395</v>
      </c>
      <c r="Z127" s="25">
        <f t="shared" si="535"/>
        <v>-184.16666666666663</v>
      </c>
      <c r="AA127" s="204">
        <f t="shared" si="561"/>
        <v>-0.3179856115107913</v>
      </c>
      <c r="AB127" s="27"/>
      <c r="AC127" s="28">
        <v>-369</v>
      </c>
      <c r="AD127" s="28">
        <v>35</v>
      </c>
      <c r="AE127" s="28">
        <v>728</v>
      </c>
      <c r="AF127" s="28">
        <v>222</v>
      </c>
      <c r="AG127" s="29">
        <f t="shared" si="17"/>
        <v>616</v>
      </c>
      <c r="AH127" s="28">
        <v>-71</v>
      </c>
      <c r="AI127" s="28">
        <v>8</v>
      </c>
      <c r="AJ127" s="28">
        <v>78</v>
      </c>
      <c r="AK127" s="28">
        <v>135</v>
      </c>
      <c r="AL127" s="29">
        <f t="shared" si="536"/>
        <v>150</v>
      </c>
      <c r="AM127" s="28">
        <v>0</v>
      </c>
      <c r="AN127" s="28">
        <v>1</v>
      </c>
      <c r="AO127" s="28">
        <v>2</v>
      </c>
      <c r="AP127" s="28">
        <v>10</v>
      </c>
      <c r="AQ127" s="29">
        <f t="shared" si="537"/>
        <v>13</v>
      </c>
      <c r="AR127" s="29">
        <f t="shared" si="531"/>
        <v>1594</v>
      </c>
      <c r="AS127" s="29">
        <f t="shared" si="532"/>
        <v>265.66666666666669</v>
      </c>
      <c r="AT127" s="30">
        <v>1311</v>
      </c>
      <c r="AU127" s="30">
        <v>3185</v>
      </c>
      <c r="AV127" s="30">
        <v>400</v>
      </c>
      <c r="AW127" s="30">
        <v>4100</v>
      </c>
      <c r="AX127" s="31">
        <f t="shared" si="390"/>
        <v>8996</v>
      </c>
      <c r="AY127" s="25">
        <f t="shared" si="538"/>
        <v>17244</v>
      </c>
      <c r="AZ127" s="25">
        <f t="shared" si="539"/>
        <v>673.66666666666674</v>
      </c>
      <c r="BA127" s="25">
        <f t="shared" si="540"/>
        <v>4042</v>
      </c>
      <c r="BB127" s="31">
        <f t="shared" si="541"/>
        <v>25.597229094507668</v>
      </c>
      <c r="BC127" s="31">
        <f t="shared" si="542"/>
        <v>4.2662048490846116</v>
      </c>
      <c r="BD127" s="27"/>
      <c r="BE127" s="198">
        <f>2338+584</f>
        <v>2922</v>
      </c>
      <c r="BF127" s="34">
        <v>1523</v>
      </c>
      <c r="BG127" s="34">
        <v>0</v>
      </c>
      <c r="BH127" s="32">
        <f t="shared" si="562"/>
        <v>826.12559108644734</v>
      </c>
      <c r="BI127" s="34">
        <v>2900</v>
      </c>
      <c r="BJ127" s="34">
        <v>0</v>
      </c>
      <c r="BK127" s="32">
        <f t="shared" si="563"/>
        <v>1573.0559515106352</v>
      </c>
      <c r="BL127" s="34">
        <v>0</v>
      </c>
      <c r="BM127" s="34">
        <v>567</v>
      </c>
      <c r="BN127" s="32">
        <f t="shared" si="564"/>
        <v>567</v>
      </c>
      <c r="BO127" s="198">
        <v>315</v>
      </c>
      <c r="BP127" s="34">
        <v>0</v>
      </c>
      <c r="BQ127" s="32">
        <f t="shared" si="565"/>
        <v>170.86642231925865</v>
      </c>
      <c r="BR127" s="34">
        <v>18419</v>
      </c>
      <c r="BS127" s="34">
        <v>19866</v>
      </c>
      <c r="BT127" s="201">
        <f t="shared" si="543"/>
        <v>0.54243308672780521</v>
      </c>
      <c r="BU127" s="35">
        <f t="shared" si="544"/>
        <v>6059.0479649163408</v>
      </c>
      <c r="BV127" s="31">
        <f t="shared" si="545"/>
        <v>38.71596143716512</v>
      </c>
      <c r="BW127" s="31">
        <f t="shared" si="546"/>
        <v>6.4526602395275194</v>
      </c>
      <c r="BX127" s="27" t="s">
        <v>57</v>
      </c>
      <c r="BY127" s="90">
        <f t="shared" si="547"/>
        <v>15055.047964916341</v>
      </c>
      <c r="BZ127" s="38">
        <f t="shared" si="548"/>
        <v>1505.5047964916341</v>
      </c>
      <c r="CA127" s="140">
        <f t="shared" si="533"/>
        <v>0.16735268969449024</v>
      </c>
      <c r="CB127" s="38">
        <f t="shared" si="549"/>
        <v>9.6198389552181087</v>
      </c>
      <c r="CC127" s="38">
        <f t="shared" si="550"/>
        <v>1.6033064925363516</v>
      </c>
      <c r="CD127" s="38">
        <f t="shared" si="551"/>
        <v>57.482428115015978</v>
      </c>
      <c r="CE127" s="38">
        <f t="shared" si="551"/>
        <v>9.5804046858359957</v>
      </c>
      <c r="CF127" s="38">
        <f t="shared" si="552"/>
        <v>64.313190531672788</v>
      </c>
      <c r="CG127" s="38">
        <f t="shared" si="553"/>
        <v>73.933029486890902</v>
      </c>
      <c r="CH127" s="38">
        <f t="shared" si="554"/>
        <v>121.79561864668877</v>
      </c>
      <c r="CI127" s="38">
        <f t="shared" si="555"/>
        <v>10.71886508861213</v>
      </c>
      <c r="CJ127" s="38">
        <f t="shared" si="556"/>
        <v>12.322171581148481</v>
      </c>
      <c r="CK127" s="38">
        <f t="shared" si="557"/>
        <v>20.299269774448128</v>
      </c>
      <c r="CL127" s="37">
        <v>4</v>
      </c>
      <c r="CM127" s="38">
        <f t="shared" si="558"/>
        <v>6.4313190531672788</v>
      </c>
      <c r="CN127" s="38">
        <f t="shared" si="559"/>
        <v>1006.5014318206792</v>
      </c>
      <c r="CO127" s="145">
        <f t="shared" si="560"/>
        <v>0.1118832182993196</v>
      </c>
      <c r="CP127" s="63">
        <v>189</v>
      </c>
      <c r="CQ127" s="327"/>
      <c r="CS127" s="271"/>
      <c r="CT127" s="133"/>
      <c r="CU127" s="133"/>
      <c r="CV127" s="133"/>
      <c r="CW127" s="133"/>
      <c r="CX127" s="133"/>
      <c r="CY127" s="133"/>
      <c r="CZ127" s="133"/>
      <c r="DA127" s="133"/>
      <c r="DB127" s="133"/>
      <c r="DC127" s="133"/>
      <c r="DD127" s="133"/>
      <c r="DE127" s="273"/>
      <c r="DF127" s="273"/>
      <c r="DG127" s="273"/>
      <c r="DH127" s="132"/>
      <c r="DI127" s="132"/>
      <c r="DJ127" s="132"/>
      <c r="DK127" s="132"/>
      <c r="DL127" s="132"/>
      <c r="DM127" s="132"/>
      <c r="DN127" s="132"/>
      <c r="DO127" s="132"/>
      <c r="DP127" s="132"/>
      <c r="DQ127" s="132"/>
      <c r="DR127" s="132"/>
      <c r="DS127" s="132"/>
      <c r="DT127" s="276"/>
      <c r="DU127" s="276"/>
      <c r="DV127" s="276"/>
      <c r="DW127" s="279"/>
      <c r="DX127" s="279"/>
      <c r="DY127" s="279"/>
      <c r="DZ127" s="279"/>
      <c r="EA127" s="279"/>
      <c r="EB127" s="279"/>
      <c r="EC127" s="279"/>
      <c r="ED127" s="279"/>
      <c r="EE127" s="279"/>
      <c r="EF127" s="279"/>
      <c r="EG127" s="279"/>
      <c r="EH127" s="279"/>
      <c r="EI127" s="281"/>
      <c r="EJ127" s="281"/>
      <c r="EK127" s="295"/>
      <c r="EL127" s="343">
        <v>94.88</v>
      </c>
      <c r="EM127" s="343">
        <v>4</v>
      </c>
      <c r="EN127" s="343">
        <v>15.12</v>
      </c>
      <c r="EO127" s="116"/>
      <c r="EP127" s="116"/>
      <c r="EQ127" s="116"/>
      <c r="ER127" s="116"/>
      <c r="ES127" s="116"/>
      <c r="ET127" s="116"/>
      <c r="EU127" s="116"/>
      <c r="EV127" s="116"/>
      <c r="EW127" s="116"/>
      <c r="EX127" s="116"/>
      <c r="EY127" s="116"/>
      <c r="EZ127" s="116"/>
    </row>
    <row r="128" spans="1:156" ht="26.25" customHeight="1" x14ac:dyDescent="0.3">
      <c r="A128" s="39" t="s">
        <v>55</v>
      </c>
      <c r="B128" s="39" t="s">
        <v>56</v>
      </c>
      <c r="C128" s="22">
        <v>2012</v>
      </c>
      <c r="D128" s="25">
        <v>300</v>
      </c>
      <c r="E128" s="25">
        <v>93</v>
      </c>
      <c r="F128" s="25">
        <v>27</v>
      </c>
      <c r="G128" s="25">
        <f t="shared" si="524"/>
        <v>170</v>
      </c>
      <c r="H128" s="25">
        <f t="shared" si="525"/>
        <v>1020</v>
      </c>
      <c r="I128" s="25">
        <f>5+165</f>
        <v>170</v>
      </c>
      <c r="J128" s="25">
        <f>11+67</f>
        <v>78</v>
      </c>
      <c r="K128" s="25">
        <v>3</v>
      </c>
      <c r="L128" s="25">
        <f t="shared" si="526"/>
        <v>109.33333333333333</v>
      </c>
      <c r="M128" s="25">
        <f t="shared" si="527"/>
        <v>656</v>
      </c>
      <c r="N128" s="25">
        <f t="shared" si="309"/>
        <v>279.33333333333331</v>
      </c>
      <c r="O128" s="25">
        <f t="shared" si="309"/>
        <v>1676</v>
      </c>
      <c r="P128" s="26">
        <f t="shared" si="528"/>
        <v>0.60859188544152742</v>
      </c>
      <c r="Q128" s="26">
        <f t="shared" si="523"/>
        <v>0.29411764705882354</v>
      </c>
      <c r="R128" s="26">
        <f t="shared" si="385"/>
        <v>0.54705882352941182</v>
      </c>
      <c r="S128" s="26">
        <f t="shared" si="386"/>
        <v>0.1588235294117647</v>
      </c>
      <c r="T128" s="207">
        <v>266</v>
      </c>
      <c r="U128" s="207">
        <v>32</v>
      </c>
      <c r="V128" s="207">
        <v>501</v>
      </c>
      <c r="W128" s="25">
        <f t="shared" si="529"/>
        <v>2289</v>
      </c>
      <c r="X128" s="25">
        <f t="shared" si="534"/>
        <v>-81</v>
      </c>
      <c r="Y128" s="25">
        <f t="shared" si="530"/>
        <v>381.5</v>
      </c>
      <c r="Z128" s="25">
        <f t="shared" si="535"/>
        <v>-13.5</v>
      </c>
      <c r="AA128" s="204">
        <f t="shared" si="561"/>
        <v>-3.4177215189873419E-2</v>
      </c>
      <c r="AB128" s="27"/>
      <c r="AC128" s="28">
        <v>-748</v>
      </c>
      <c r="AD128" s="28">
        <v>19</v>
      </c>
      <c r="AE128" s="28">
        <v>236</v>
      </c>
      <c r="AF128" s="28">
        <v>317</v>
      </c>
      <c r="AG128" s="29">
        <f t="shared" si="17"/>
        <v>-176</v>
      </c>
      <c r="AH128" s="28">
        <v>-70</v>
      </c>
      <c r="AI128" s="28">
        <v>7</v>
      </c>
      <c r="AJ128" s="28">
        <v>54</v>
      </c>
      <c r="AK128" s="28">
        <v>143</v>
      </c>
      <c r="AL128" s="29">
        <f t="shared" si="536"/>
        <v>134</v>
      </c>
      <c r="AM128" s="28">
        <v>1</v>
      </c>
      <c r="AN128" s="28">
        <v>0</v>
      </c>
      <c r="AO128" s="28">
        <v>1</v>
      </c>
      <c r="AP128" s="28">
        <v>16</v>
      </c>
      <c r="AQ128" s="29">
        <f t="shared" si="537"/>
        <v>18</v>
      </c>
      <c r="AR128" s="29">
        <f t="shared" si="531"/>
        <v>736</v>
      </c>
      <c r="AS128" s="29">
        <f t="shared" si="532"/>
        <v>122.66666666666667</v>
      </c>
      <c r="AT128" s="30">
        <v>573</v>
      </c>
      <c r="AU128" s="30">
        <v>1333</v>
      </c>
      <c r="AV128" s="30">
        <v>379</v>
      </c>
      <c r="AW128" s="30">
        <v>3271</v>
      </c>
      <c r="AX128" s="31">
        <f t="shared" si="390"/>
        <v>5556</v>
      </c>
      <c r="AY128" s="25">
        <f t="shared" si="538"/>
        <v>20777</v>
      </c>
      <c r="AZ128" s="25">
        <f t="shared" si="539"/>
        <v>658.66666666666663</v>
      </c>
      <c r="BA128" s="25">
        <f t="shared" si="540"/>
        <v>3952</v>
      </c>
      <c r="BB128" s="31">
        <f t="shared" si="541"/>
        <v>31.544028340080974</v>
      </c>
      <c r="BC128" s="31">
        <f t="shared" si="542"/>
        <v>5.2573380566801617</v>
      </c>
      <c r="BD128" s="27"/>
      <c r="BE128" s="198">
        <v>1710</v>
      </c>
      <c r="BF128" s="34">
        <v>1366</v>
      </c>
      <c r="BG128" s="34">
        <v>0</v>
      </c>
      <c r="BH128" s="32">
        <f t="shared" si="562"/>
        <v>771.45929850568382</v>
      </c>
      <c r="BI128" s="34">
        <v>2300</v>
      </c>
      <c r="BJ128" s="34">
        <v>0</v>
      </c>
      <c r="BK128" s="32">
        <f t="shared" si="563"/>
        <v>1298.9431819641823</v>
      </c>
      <c r="BL128" s="34">
        <v>0</v>
      </c>
      <c r="BM128" s="34">
        <v>644</v>
      </c>
      <c r="BN128" s="32">
        <f t="shared" si="564"/>
        <v>644</v>
      </c>
      <c r="BO128">
        <f>190+100</f>
        <v>290</v>
      </c>
      <c r="BP128" s="34">
        <v>0</v>
      </c>
      <c r="BQ128" s="32">
        <f t="shared" si="565"/>
        <v>163.77979250852732</v>
      </c>
      <c r="BR128" s="34">
        <v>14997</v>
      </c>
      <c r="BS128" s="34">
        <v>16161</v>
      </c>
      <c r="BT128" s="201">
        <f t="shared" si="543"/>
        <v>0.56475790520181834</v>
      </c>
      <c r="BU128" s="35">
        <f t="shared" si="544"/>
        <v>4588.1822729783935</v>
      </c>
      <c r="BV128" s="31">
        <f t="shared" si="545"/>
        <v>26.989307488108196</v>
      </c>
      <c r="BW128" s="31">
        <f t="shared" si="546"/>
        <v>4.4982179146846999</v>
      </c>
      <c r="BX128" s="27" t="s">
        <v>57</v>
      </c>
      <c r="BY128" s="90">
        <f t="shared" si="547"/>
        <v>10144.182272978393</v>
      </c>
      <c r="BZ128" s="38">
        <f t="shared" si="548"/>
        <v>1014.4182272978393</v>
      </c>
      <c r="CA128" s="140">
        <f t="shared" si="533"/>
        <v>0.18258067445965429</v>
      </c>
      <c r="CB128" s="38">
        <f t="shared" si="549"/>
        <v>5.9671660429284668</v>
      </c>
      <c r="CC128" s="38">
        <f t="shared" si="550"/>
        <v>0.99452767382141105</v>
      </c>
      <c r="CD128" s="38">
        <f t="shared" si="551"/>
        <v>32.682352941176468</v>
      </c>
      <c r="CE128" s="38">
        <f t="shared" si="551"/>
        <v>5.447058823529412</v>
      </c>
      <c r="CF128" s="38">
        <f t="shared" si="552"/>
        <v>58.533335828189166</v>
      </c>
      <c r="CG128" s="38">
        <f t="shared" si="553"/>
        <v>64.500501871117635</v>
      </c>
      <c r="CH128" s="38">
        <f t="shared" si="554"/>
        <v>91.215688769365642</v>
      </c>
      <c r="CI128" s="38">
        <f t="shared" si="555"/>
        <v>9.7555559713648616</v>
      </c>
      <c r="CJ128" s="38">
        <f t="shared" si="556"/>
        <v>10.750083645186272</v>
      </c>
      <c r="CK128" s="38">
        <f t="shared" si="557"/>
        <v>15.202614794894274</v>
      </c>
      <c r="CL128" s="37">
        <v>4</v>
      </c>
      <c r="CM128" s="38">
        <f t="shared" si="558"/>
        <v>5.8533335828189168</v>
      </c>
      <c r="CN128" s="38">
        <f t="shared" si="559"/>
        <v>995.06670907921591</v>
      </c>
      <c r="CO128" s="145">
        <f t="shared" si="560"/>
        <v>0.17909767981987326</v>
      </c>
      <c r="CP128" s="63">
        <v>124</v>
      </c>
      <c r="CQ128" s="327"/>
      <c r="CS128" s="270">
        <f>+CT128*CU128</f>
        <v>216.13109999999998</v>
      </c>
      <c r="CT128" s="269">
        <f>0.834*91.25</f>
        <v>76.102499999999992</v>
      </c>
      <c r="CU128" s="133">
        <v>2.84</v>
      </c>
      <c r="CV128" s="269">
        <f>+CW128*CX128</f>
        <v>159.24493749999996</v>
      </c>
      <c r="CW128" s="269">
        <f>0.835*91.25</f>
        <v>76.193749999999994</v>
      </c>
      <c r="CX128" s="133">
        <v>2.09</v>
      </c>
      <c r="CY128" s="269">
        <f>+CZ128*DA128</f>
        <v>182.6241</v>
      </c>
      <c r="CZ128" s="269">
        <f>0.807*91.25</f>
        <v>73.638750000000002</v>
      </c>
      <c r="DA128" s="133">
        <v>2.48</v>
      </c>
      <c r="DB128" s="269">
        <f t="shared" ref="DB128:DC132" si="566">+DE128-CS128-CV128-CY128</f>
        <v>-46.56213749999992</v>
      </c>
      <c r="DC128" s="269">
        <f t="shared" si="566"/>
        <v>-19.709999999999994</v>
      </c>
      <c r="DD128" s="133">
        <f>+DB128/DC128</f>
        <v>2.3623611111111078</v>
      </c>
      <c r="DE128" s="274">
        <f>+DF128*DG128</f>
        <v>511.43799999999999</v>
      </c>
      <c r="DF128" s="274">
        <f>0.565*365</f>
        <v>206.22499999999999</v>
      </c>
      <c r="DG128" s="273">
        <v>2.48</v>
      </c>
      <c r="DH128" s="272">
        <f>+DI128*DJ128</f>
        <v>2304.8728000000001</v>
      </c>
      <c r="DI128" s="272">
        <f>0.244*91.25</f>
        <v>22.265000000000001</v>
      </c>
      <c r="DJ128" s="296">
        <v>103.52</v>
      </c>
      <c r="DK128" s="272">
        <f>+DL128*DM128</f>
        <v>2098.0802250000002</v>
      </c>
      <c r="DL128" s="272">
        <f>0.249*91.25</f>
        <v>22.721250000000001</v>
      </c>
      <c r="DM128" s="296">
        <v>92.34</v>
      </c>
      <c r="DN128" s="272">
        <f>+DO128*DP128</f>
        <v>2173.5959874999999</v>
      </c>
      <c r="DO128" s="272">
        <f>0.259*91.25</f>
        <v>23.633749999999999</v>
      </c>
      <c r="DP128" s="296">
        <v>91.97</v>
      </c>
      <c r="DQ128" s="272">
        <f t="shared" ref="DQ128:DR132" si="567">+DT128-DN128-DK128-DH128</f>
        <v>1637.3197374999995</v>
      </c>
      <c r="DR128" s="272">
        <f t="shared" si="567"/>
        <v>24.454999999999998</v>
      </c>
      <c r="DS128" s="296">
        <f>+DQ128/DR128</f>
        <v>66.952350746268635</v>
      </c>
      <c r="DT128" s="277">
        <f>+DU128*DV128</f>
        <v>8213.8687499999996</v>
      </c>
      <c r="DU128" s="277">
        <f>0.255*365</f>
        <v>93.075000000000003</v>
      </c>
      <c r="DV128" s="297">
        <v>88.25</v>
      </c>
      <c r="DW128" s="99">
        <f>+DX128*DY128</f>
        <v>354.45150000000001</v>
      </c>
      <c r="DX128" s="99">
        <f>0.072*91.25</f>
        <v>6.5699999999999994</v>
      </c>
      <c r="DY128" s="298">
        <v>53.95</v>
      </c>
      <c r="DZ128" s="99">
        <f>+EA128*EB128</f>
        <v>291.4296875</v>
      </c>
      <c r="EA128" s="99">
        <f>0.073*91.25</f>
        <v>6.6612499999999999</v>
      </c>
      <c r="EB128" s="298">
        <v>43.75</v>
      </c>
      <c r="EC128" s="99">
        <f>+ED128*EE128</f>
        <v>281.30914999999993</v>
      </c>
      <c r="ED128" s="99">
        <f>0.074*91.25</f>
        <v>6.7524999999999995</v>
      </c>
      <c r="EE128" s="298">
        <v>41.66</v>
      </c>
      <c r="EF128" s="99">
        <f t="shared" ref="EF128:EG132" si="568">+EI128-EC128-DZ128-DW128</f>
        <v>-26.603937499999802</v>
      </c>
      <c r="EG128" s="99">
        <f t="shared" si="568"/>
        <v>0.45625000000000249</v>
      </c>
      <c r="EH128" s="298">
        <f>+EF128/EG128</f>
        <v>-58.309999999999249</v>
      </c>
      <c r="EI128" s="282">
        <f>+EJ128*EK128</f>
        <v>900.58640000000014</v>
      </c>
      <c r="EJ128" s="282">
        <f>0.056*365</f>
        <v>20.440000000000001</v>
      </c>
      <c r="EK128" s="299">
        <v>44.06</v>
      </c>
      <c r="EL128" s="344">
        <v>94.05</v>
      </c>
      <c r="EM128" s="344">
        <v>2.75</v>
      </c>
      <c r="EN128" s="344">
        <v>10.98</v>
      </c>
      <c r="EO128" s="74">
        <v>2.41</v>
      </c>
      <c r="EP128" s="74">
        <v>2.2799999999999998</v>
      </c>
      <c r="EQ128" s="74">
        <v>2.88</v>
      </c>
      <c r="ER128" s="74">
        <v>3.4</v>
      </c>
      <c r="ES128" s="74">
        <v>13.14</v>
      </c>
      <c r="ET128" s="74">
        <v>10.75</v>
      </c>
      <c r="EU128" s="74">
        <v>9.9600000000000009</v>
      </c>
      <c r="EV128" s="74">
        <v>10.08</v>
      </c>
      <c r="EW128" s="74">
        <v>102.98</v>
      </c>
      <c r="EX128" s="74">
        <v>93.29</v>
      </c>
      <c r="EY128" s="74">
        <v>92.17</v>
      </c>
      <c r="EZ128" s="74">
        <v>88.01</v>
      </c>
    </row>
    <row r="129" spans="1:156" ht="26.25" customHeight="1" x14ac:dyDescent="0.3">
      <c r="A129" s="43" t="s">
        <v>55</v>
      </c>
      <c r="B129" s="43" t="s">
        <v>56</v>
      </c>
      <c r="C129" s="53">
        <v>2013</v>
      </c>
      <c r="D129" s="52">
        <v>289</v>
      </c>
      <c r="E129" s="52">
        <v>97</v>
      </c>
      <c r="F129" s="52">
        <v>28</v>
      </c>
      <c r="G129" s="52">
        <f t="shared" si="524"/>
        <v>173.16666666666666</v>
      </c>
      <c r="H129" s="52">
        <f t="shared" si="525"/>
        <v>1039</v>
      </c>
      <c r="I129" s="52">
        <f>5+158</f>
        <v>163</v>
      </c>
      <c r="J129" s="52">
        <f>10+65</f>
        <v>75</v>
      </c>
      <c r="K129" s="52">
        <v>3</v>
      </c>
      <c r="L129" s="52">
        <f t="shared" si="526"/>
        <v>105.16666666666667</v>
      </c>
      <c r="M129" s="52">
        <f t="shared" si="527"/>
        <v>631</v>
      </c>
      <c r="N129" s="52">
        <f t="shared" si="309"/>
        <v>278.33333333333331</v>
      </c>
      <c r="O129" s="52">
        <f t="shared" si="309"/>
        <v>1670</v>
      </c>
      <c r="P129" s="54">
        <f t="shared" si="528"/>
        <v>0.6221556886227545</v>
      </c>
      <c r="Q129" s="54">
        <f t="shared" si="523"/>
        <v>0.27815206929740133</v>
      </c>
      <c r="R129" s="54">
        <f t="shared" si="385"/>
        <v>0.56015399422521661</v>
      </c>
      <c r="S129" s="54">
        <f t="shared" si="386"/>
        <v>0.16169393647738212</v>
      </c>
      <c r="T129" s="208">
        <v>309</v>
      </c>
      <c r="U129" s="208">
        <v>53</v>
      </c>
      <c r="V129" s="208">
        <v>517</v>
      </c>
      <c r="W129" s="52">
        <f t="shared" si="529"/>
        <v>2689</v>
      </c>
      <c r="X129" s="52">
        <f t="shared" si="534"/>
        <v>400</v>
      </c>
      <c r="Y129" s="52">
        <f t="shared" si="530"/>
        <v>448.16666666666669</v>
      </c>
      <c r="Z129" s="52">
        <f t="shared" si="535"/>
        <v>66.666666666666686</v>
      </c>
      <c r="AA129" s="205">
        <f t="shared" si="561"/>
        <v>0.17474879860200965</v>
      </c>
      <c r="AB129" s="44"/>
      <c r="AC129" s="45">
        <v>-94</v>
      </c>
      <c r="AD129" s="45">
        <v>14</v>
      </c>
      <c r="AE129" s="45">
        <v>34</v>
      </c>
      <c r="AF129" s="45">
        <v>303</v>
      </c>
      <c r="AG129" s="55">
        <f t="shared" si="17"/>
        <v>257</v>
      </c>
      <c r="AH129" s="45">
        <v>-44</v>
      </c>
      <c r="AI129" s="45">
        <v>4</v>
      </c>
      <c r="AJ129" s="45">
        <v>25</v>
      </c>
      <c r="AK129" s="45">
        <v>214</v>
      </c>
      <c r="AL129" s="55">
        <f t="shared" si="536"/>
        <v>199</v>
      </c>
      <c r="AM129" s="45">
        <v>66</v>
      </c>
      <c r="AN129" s="45">
        <v>0</v>
      </c>
      <c r="AO129" s="45">
        <v>7</v>
      </c>
      <c r="AP129" s="45">
        <v>13</v>
      </c>
      <c r="AQ129" s="55">
        <f t="shared" si="537"/>
        <v>86</v>
      </c>
      <c r="AR129" s="55">
        <f t="shared" si="531"/>
        <v>1967</v>
      </c>
      <c r="AS129" s="55">
        <f t="shared" si="532"/>
        <v>327.83333333333337</v>
      </c>
      <c r="AT129" s="46">
        <v>151</v>
      </c>
      <c r="AU129" s="46">
        <v>343</v>
      </c>
      <c r="AV129" s="46">
        <v>293</v>
      </c>
      <c r="AW129" s="46">
        <v>2659</v>
      </c>
      <c r="AX129" s="50">
        <f t="shared" si="390"/>
        <v>3446</v>
      </c>
      <c r="AY129" s="52">
        <f t="shared" si="538"/>
        <v>17998</v>
      </c>
      <c r="AZ129" s="52">
        <f t="shared" si="539"/>
        <v>716.16666666666674</v>
      </c>
      <c r="BA129" s="52">
        <f t="shared" si="540"/>
        <v>4297</v>
      </c>
      <c r="BB129" s="50">
        <f t="shared" si="541"/>
        <v>25.131021643006747</v>
      </c>
      <c r="BC129" s="50">
        <f t="shared" si="542"/>
        <v>4.1885036071677915</v>
      </c>
      <c r="BD129" s="44"/>
      <c r="BE129" s="47">
        <f>1457+582</f>
        <v>2039</v>
      </c>
      <c r="BF129" s="48">
        <v>1544</v>
      </c>
      <c r="BG129" s="48">
        <v>0</v>
      </c>
      <c r="BH129" s="47">
        <f t="shared" si="562"/>
        <v>891.1054717386379</v>
      </c>
      <c r="BI129" s="48">
        <v>1800</v>
      </c>
      <c r="BJ129" s="48">
        <v>0</v>
      </c>
      <c r="BK129" s="47">
        <f t="shared" si="563"/>
        <v>1038.8535292289821</v>
      </c>
      <c r="BL129" s="48">
        <v>0</v>
      </c>
      <c r="BM129" s="48">
        <v>693</v>
      </c>
      <c r="BN129" s="47">
        <f t="shared" si="564"/>
        <v>693</v>
      </c>
      <c r="BO129">
        <f>238+137</f>
        <v>375</v>
      </c>
      <c r="BP129" s="48">
        <v>0</v>
      </c>
      <c r="BQ129" s="47">
        <f t="shared" si="565"/>
        <v>216.42781858937124</v>
      </c>
      <c r="BR129" s="48">
        <v>15052</v>
      </c>
      <c r="BS129" s="48">
        <v>16226</v>
      </c>
      <c r="BT129" s="202">
        <f t="shared" si="543"/>
        <v>0.57714084957165668</v>
      </c>
      <c r="BU129" s="49">
        <f t="shared" si="544"/>
        <v>4878.3868195569912</v>
      </c>
      <c r="BV129" s="50">
        <f t="shared" si="545"/>
        <v>28.171627446912368</v>
      </c>
      <c r="BW129" s="50">
        <f t="shared" si="546"/>
        <v>4.695271241152061</v>
      </c>
      <c r="BX129" s="44" t="s">
        <v>57</v>
      </c>
      <c r="BY129" s="91">
        <f t="shared" si="547"/>
        <v>8324.3868195569921</v>
      </c>
      <c r="BZ129" s="56">
        <f t="shared" si="548"/>
        <v>832.43868195569928</v>
      </c>
      <c r="CA129" s="141">
        <f t="shared" si="533"/>
        <v>0.24156665175731262</v>
      </c>
      <c r="CB129" s="56">
        <f t="shared" si="549"/>
        <v>4.8071531200521616</v>
      </c>
      <c r="CC129" s="56">
        <f t="shared" si="550"/>
        <v>0.80119218667536019</v>
      </c>
      <c r="CD129" s="56">
        <f t="shared" si="551"/>
        <v>19.899903753609241</v>
      </c>
      <c r="CE129" s="56">
        <f t="shared" si="551"/>
        <v>3.31665062560154</v>
      </c>
      <c r="CF129" s="56">
        <f t="shared" si="552"/>
        <v>53.302649089919115</v>
      </c>
      <c r="CG129" s="56">
        <f t="shared" si="553"/>
        <v>58.109802209971278</v>
      </c>
      <c r="CH129" s="56">
        <f t="shared" si="554"/>
        <v>73.202552843528352</v>
      </c>
      <c r="CI129" s="56">
        <f t="shared" si="555"/>
        <v>8.8837748483198524</v>
      </c>
      <c r="CJ129" s="38">
        <f t="shared" si="556"/>
        <v>9.6849670349952124</v>
      </c>
      <c r="CK129" s="56">
        <f t="shared" si="557"/>
        <v>12.200425473921392</v>
      </c>
      <c r="CL129" s="51">
        <v>4</v>
      </c>
      <c r="CM129" s="56">
        <f t="shared" si="558"/>
        <v>5.3302649089919116</v>
      </c>
      <c r="CN129" s="56">
        <f t="shared" si="559"/>
        <v>923.02420674043265</v>
      </c>
      <c r="CO129" s="145">
        <f t="shared" si="560"/>
        <v>0.26785380346501236</v>
      </c>
      <c r="CP129" s="63">
        <v>140</v>
      </c>
      <c r="CQ129" s="327"/>
      <c r="CS129" s="270">
        <f>+CT129*CU129</f>
        <v>230.17995000000002</v>
      </c>
      <c r="CT129" s="269">
        <f>0.819*91.25</f>
        <v>74.733750000000001</v>
      </c>
      <c r="CU129" s="133">
        <v>3.08</v>
      </c>
      <c r="CV129" s="269">
        <f>+CW129*CX129</f>
        <v>277.11712499999999</v>
      </c>
      <c r="CW129" s="269">
        <f>0.795*91.25</f>
        <v>72.543750000000003</v>
      </c>
      <c r="CX129" s="133">
        <v>3.82</v>
      </c>
      <c r="CY129" s="269">
        <f>+CZ129*DA129</f>
        <v>233.0406375</v>
      </c>
      <c r="CZ129" s="269">
        <f>0.781*91.25</f>
        <v>71.266249999999999</v>
      </c>
      <c r="DA129" s="133">
        <v>3.27</v>
      </c>
      <c r="DB129" s="269">
        <f t="shared" si="566"/>
        <v>-190.29731249999992</v>
      </c>
      <c r="DC129" s="269">
        <f t="shared" si="566"/>
        <v>-47.723749999999981</v>
      </c>
      <c r="DD129" s="133">
        <f>+DB129/DC129</f>
        <v>3.9874760994263863</v>
      </c>
      <c r="DE129" s="274">
        <f>+DF129*DG129</f>
        <v>550.04040000000009</v>
      </c>
      <c r="DF129" s="274">
        <f>0.468*365</f>
        <v>170.82000000000002</v>
      </c>
      <c r="DG129" s="273">
        <v>3.22</v>
      </c>
      <c r="DH129" s="272">
        <f>+DI129*DJ129</f>
        <v>2205.9213</v>
      </c>
      <c r="DI129" s="272">
        <f>0.264*91.25</f>
        <v>24.09</v>
      </c>
      <c r="DJ129" s="296">
        <v>91.57</v>
      </c>
      <c r="DK129" s="272">
        <f>+DL129*DM129</f>
        <v>2264.4490500000002</v>
      </c>
      <c r="DL129" s="272">
        <f>0.261*91.25</f>
        <v>23.81625</v>
      </c>
      <c r="DM129" s="296">
        <v>95.08</v>
      </c>
      <c r="DN129" s="272">
        <f>+DO129*DP129</f>
        <v>2541.1391250000001</v>
      </c>
      <c r="DO129" s="272">
        <f>0.267*91.25</f>
        <v>24.363750000000003</v>
      </c>
      <c r="DP129" s="296">
        <v>104.3</v>
      </c>
      <c r="DQ129" s="272">
        <f t="shared" si="567"/>
        <v>1967.3737250000004</v>
      </c>
      <c r="DR129" s="272">
        <f t="shared" si="567"/>
        <v>24.819999999999997</v>
      </c>
      <c r="DS129" s="296">
        <f>+DQ129/DR129</f>
        <v>79.265661764705911</v>
      </c>
      <c r="DT129" s="277">
        <f>+DU129*DV129</f>
        <v>8978.8832000000002</v>
      </c>
      <c r="DU129" s="277">
        <f>0.266*365</f>
        <v>97.09</v>
      </c>
      <c r="DV129" s="297">
        <v>92.48</v>
      </c>
      <c r="DW129" s="99">
        <f>+DX129*DY129</f>
        <v>288.89932500000003</v>
      </c>
      <c r="DX129" s="99">
        <f>0.078*91.25</f>
        <v>7.1174999999999997</v>
      </c>
      <c r="DY129" s="298">
        <v>40.590000000000003</v>
      </c>
      <c r="DZ129" s="99">
        <f>+EA129*EB129</f>
        <v>278.94212500000003</v>
      </c>
      <c r="EA129" s="99">
        <f>0.077*91.25</f>
        <v>7.0262500000000001</v>
      </c>
      <c r="EB129" s="298">
        <v>39.700000000000003</v>
      </c>
      <c r="EC129" s="99">
        <f>+ED129*EE129</f>
        <v>298.15390000000002</v>
      </c>
      <c r="ED129" s="99">
        <f>0.079*91.25</f>
        <v>7.2087500000000002</v>
      </c>
      <c r="EE129" s="298">
        <v>41.36</v>
      </c>
      <c r="EF129" s="99">
        <f t="shared" si="568"/>
        <v>-104.20385000000005</v>
      </c>
      <c r="EG129" s="99">
        <f t="shared" si="568"/>
        <v>-1.6424999999999992</v>
      </c>
      <c r="EH129" s="298">
        <f>+EF129/EG129</f>
        <v>63.442222222222284</v>
      </c>
      <c r="EI129" s="282">
        <f>+EJ129*EK129</f>
        <v>761.79150000000004</v>
      </c>
      <c r="EJ129" s="282">
        <f>0.054*365</f>
        <v>19.71</v>
      </c>
      <c r="EK129" s="299">
        <v>38.65</v>
      </c>
      <c r="EL129" s="344">
        <v>97.98</v>
      </c>
      <c r="EM129" s="344">
        <v>3.73</v>
      </c>
      <c r="EN129" s="344">
        <v>9.94</v>
      </c>
      <c r="EO129" s="74">
        <v>3.49</v>
      </c>
      <c r="EP129" s="74">
        <v>4.01</v>
      </c>
      <c r="EQ129" s="74">
        <v>3.56</v>
      </c>
      <c r="ER129" s="74">
        <v>3.85</v>
      </c>
      <c r="ES129" s="74">
        <v>9.77</v>
      </c>
      <c r="ET129" s="74">
        <v>9.39</v>
      </c>
      <c r="EU129" s="74">
        <v>10.01</v>
      </c>
      <c r="EV129" s="74">
        <v>10.53</v>
      </c>
      <c r="EW129" s="74">
        <v>94.33</v>
      </c>
      <c r="EX129" s="74">
        <v>94.05</v>
      </c>
      <c r="EY129" s="74">
        <v>105.83</v>
      </c>
      <c r="EZ129" s="74">
        <v>97.44</v>
      </c>
    </row>
    <row r="130" spans="1:156" ht="26.25" customHeight="1" x14ac:dyDescent="0.3">
      <c r="A130" s="43" t="s">
        <v>55</v>
      </c>
      <c r="B130" s="43" t="s">
        <v>56</v>
      </c>
      <c r="C130" s="53">
        <v>2014</v>
      </c>
      <c r="D130" s="52">
        <v>173</v>
      </c>
      <c r="E130" s="52">
        <v>67</v>
      </c>
      <c r="F130" s="52">
        <v>20</v>
      </c>
      <c r="G130" s="52">
        <f t="shared" si="524"/>
        <v>115.83333333333333</v>
      </c>
      <c r="H130" s="52">
        <f t="shared" si="525"/>
        <v>695</v>
      </c>
      <c r="I130" s="52">
        <f>154+4</f>
        <v>158</v>
      </c>
      <c r="J130" s="52">
        <v>74</v>
      </c>
      <c r="K130" s="52">
        <v>2</v>
      </c>
      <c r="L130" s="52">
        <f t="shared" si="526"/>
        <v>102.33333333333333</v>
      </c>
      <c r="M130" s="52">
        <f t="shared" si="527"/>
        <v>614</v>
      </c>
      <c r="N130" s="52">
        <f t="shared" si="309"/>
        <v>218.16666666666666</v>
      </c>
      <c r="O130" s="52">
        <f t="shared" si="309"/>
        <v>1309</v>
      </c>
      <c r="P130" s="54">
        <f t="shared" si="528"/>
        <v>0.53093964858670739</v>
      </c>
      <c r="Q130" s="54">
        <f t="shared" si="523"/>
        <v>0.24892086330935251</v>
      </c>
      <c r="R130" s="54">
        <f t="shared" si="385"/>
        <v>0.57841726618705036</v>
      </c>
      <c r="S130" s="54">
        <f t="shared" si="386"/>
        <v>0.17266187050359713</v>
      </c>
      <c r="T130" s="208">
        <v>454</v>
      </c>
      <c r="U130" s="208">
        <v>75</v>
      </c>
      <c r="V130" s="208">
        <v>586</v>
      </c>
      <c r="W130" s="52">
        <f t="shared" si="529"/>
        <v>3760</v>
      </c>
      <c r="X130" s="52">
        <f t="shared" si="534"/>
        <v>1071</v>
      </c>
      <c r="Y130" s="52">
        <f t="shared" si="530"/>
        <v>626.66666666666663</v>
      </c>
      <c r="Z130" s="52">
        <f t="shared" si="535"/>
        <v>178.49999999999994</v>
      </c>
      <c r="AA130" s="205">
        <f t="shared" si="561"/>
        <v>0.39828932688731855</v>
      </c>
      <c r="AB130" s="44"/>
      <c r="AC130" s="45">
        <v>-111</v>
      </c>
      <c r="AD130" s="45">
        <v>27</v>
      </c>
      <c r="AE130" s="45">
        <v>46</v>
      </c>
      <c r="AF130" s="45">
        <v>284</v>
      </c>
      <c r="AG130" s="55">
        <f>SUM(AC130:AF130)</f>
        <v>246</v>
      </c>
      <c r="AH130" s="45">
        <v>-54</v>
      </c>
      <c r="AI130" s="45">
        <v>15</v>
      </c>
      <c r="AJ130" s="45">
        <v>33</v>
      </c>
      <c r="AK130" s="45">
        <v>224</v>
      </c>
      <c r="AL130" s="55">
        <f>SUM(AH130:AK130)</f>
        <v>218</v>
      </c>
      <c r="AM130" s="45">
        <v>6</v>
      </c>
      <c r="AN130" s="45">
        <v>2</v>
      </c>
      <c r="AO130" s="45">
        <v>3</v>
      </c>
      <c r="AP130" s="45">
        <v>6</v>
      </c>
      <c r="AQ130" s="55">
        <f>SUM(AM130:AP130)</f>
        <v>17</v>
      </c>
      <c r="AR130" s="55">
        <f t="shared" si="531"/>
        <v>1656</v>
      </c>
      <c r="AS130" s="55">
        <f t="shared" si="532"/>
        <v>276</v>
      </c>
      <c r="AT130" s="46">
        <v>842</v>
      </c>
      <c r="AU130" s="46">
        <v>771</v>
      </c>
      <c r="AV130" s="46">
        <v>379</v>
      </c>
      <c r="AW130" s="46">
        <v>3665</v>
      </c>
      <c r="AX130" s="50">
        <f t="shared" si="390"/>
        <v>5657</v>
      </c>
      <c r="AY130" s="52">
        <f t="shared" si="538"/>
        <v>14659</v>
      </c>
      <c r="AZ130" s="52">
        <f t="shared" si="539"/>
        <v>726.5</v>
      </c>
      <c r="BA130" s="52">
        <f t="shared" si="540"/>
        <v>4359</v>
      </c>
      <c r="BB130" s="50">
        <f t="shared" si="541"/>
        <v>20.177563661390227</v>
      </c>
      <c r="BC130" s="50">
        <f t="shared" si="542"/>
        <v>3.3629272768983713</v>
      </c>
      <c r="BD130" s="44"/>
      <c r="BE130" s="47">
        <f>1683+588</f>
        <v>2271</v>
      </c>
      <c r="BF130" s="48">
        <v>1503</v>
      </c>
      <c r="BG130" s="48">
        <v>0</v>
      </c>
      <c r="BH130" s="47">
        <f t="shared" si="562"/>
        <v>726.3110566837122</v>
      </c>
      <c r="BI130" s="48">
        <v>2900</v>
      </c>
      <c r="BJ130" s="48">
        <v>0</v>
      </c>
      <c r="BK130" s="47">
        <f t="shared" si="563"/>
        <v>1401.398579096983</v>
      </c>
      <c r="BL130" s="48">
        <v>0</v>
      </c>
      <c r="BM130" s="48">
        <v>529</v>
      </c>
      <c r="BN130" s="47">
        <f t="shared" si="564"/>
        <v>529</v>
      </c>
      <c r="BO130">
        <f>219+180</f>
        <v>399</v>
      </c>
      <c r="BP130" s="48">
        <v>0</v>
      </c>
      <c r="BQ130" s="47">
        <f t="shared" si="565"/>
        <v>192.8131148481711</v>
      </c>
      <c r="BR130" s="48">
        <v>13910</v>
      </c>
      <c r="BS130" s="48">
        <v>15283</v>
      </c>
      <c r="BT130" s="202">
        <f t="shared" si="543"/>
        <v>0.48324088934378723</v>
      </c>
      <c r="BU130" s="49">
        <f t="shared" si="544"/>
        <v>5120.5227506288666</v>
      </c>
      <c r="BV130" s="50">
        <f t="shared" si="545"/>
        <v>44.205951803990217</v>
      </c>
      <c r="BW130" s="50">
        <f t="shared" si="546"/>
        <v>7.367658633998369</v>
      </c>
      <c r="BX130" s="44"/>
      <c r="BY130" s="91">
        <f t="shared" si="547"/>
        <v>10777.522750628867</v>
      </c>
      <c r="BZ130" s="56">
        <f t="shared" si="548"/>
        <v>1077.7522750628866</v>
      </c>
      <c r="CA130" s="141">
        <f t="shared" si="533"/>
        <v>0.19051657681861173</v>
      </c>
      <c r="CB130" s="56">
        <f t="shared" si="549"/>
        <v>9.3043361875932664</v>
      </c>
      <c r="CC130" s="56">
        <f t="shared" si="550"/>
        <v>1.5507226979322108</v>
      </c>
      <c r="CD130" s="56">
        <f t="shared" si="551"/>
        <v>48.83741007194245</v>
      </c>
      <c r="CE130" s="56">
        <f t="shared" si="551"/>
        <v>8.1395683453237417</v>
      </c>
      <c r="CF130" s="56">
        <f t="shared" si="552"/>
        <v>64.383515465380441</v>
      </c>
      <c r="CG130" s="56">
        <f t="shared" si="553"/>
        <v>73.687851652973706</v>
      </c>
      <c r="CH130" s="56">
        <f t="shared" si="554"/>
        <v>113.2209255373229</v>
      </c>
      <c r="CI130" s="56">
        <f t="shared" si="555"/>
        <v>10.730585910896741</v>
      </c>
      <c r="CJ130" s="56">
        <f t="shared" si="556"/>
        <v>12.281308608828951</v>
      </c>
      <c r="CK130" s="56">
        <f t="shared" si="557"/>
        <v>18.870154256220481</v>
      </c>
      <c r="CL130" s="51">
        <v>4</v>
      </c>
      <c r="CM130" s="56">
        <f t="shared" si="558"/>
        <v>6.4383515465380441</v>
      </c>
      <c r="CN130" s="56">
        <f t="shared" si="559"/>
        <v>745.77572080732341</v>
      </c>
      <c r="CO130" s="173">
        <f t="shared" si="560"/>
        <v>0.13183237065711922</v>
      </c>
      <c r="CP130" s="174">
        <v>141</v>
      </c>
      <c r="CQ130" s="328"/>
      <c r="CR130" s="82"/>
      <c r="CS130" s="270">
        <f>+CT130*CU130</f>
        <v>183.469075</v>
      </c>
      <c r="CT130" s="269">
        <f>0.458*91.25</f>
        <v>41.792500000000004</v>
      </c>
      <c r="CU130" s="133">
        <v>4.3899999999999997</v>
      </c>
      <c r="CV130" s="269">
        <f>+CW130*CX130</f>
        <v>173.81756250000001</v>
      </c>
      <c r="CW130" s="269">
        <f>0.459*91.25</f>
        <v>41.883749999999999</v>
      </c>
      <c r="CX130" s="133">
        <v>4.1500000000000004</v>
      </c>
      <c r="CY130" s="269">
        <f>+CZ130*DA130</f>
        <v>157.66905</v>
      </c>
      <c r="CZ130" s="269">
        <f>0.462*91.25</f>
        <v>42.157499999999999</v>
      </c>
      <c r="DA130" s="133">
        <v>3.74</v>
      </c>
      <c r="DB130" s="269">
        <f t="shared" si="566"/>
        <v>171.85431250000008</v>
      </c>
      <c r="DC130" s="269">
        <f t="shared" si="566"/>
        <v>47.166249999999991</v>
      </c>
      <c r="DD130" s="133">
        <f>+DB130/DC130</f>
        <v>3.6435865157819438</v>
      </c>
      <c r="DE130" s="274">
        <f>+DF130*DG130</f>
        <v>686.81000000000006</v>
      </c>
      <c r="DF130" s="274">
        <v>173</v>
      </c>
      <c r="DG130" s="273">
        <v>3.97</v>
      </c>
      <c r="DH130" s="272">
        <f>+DI130*DJ130</f>
        <v>1461.1752999999999</v>
      </c>
      <c r="DI130" s="272">
        <f>0.173*91.25</f>
        <v>15.786249999999999</v>
      </c>
      <c r="DJ130" s="296">
        <v>92.56</v>
      </c>
      <c r="DK130" s="272">
        <f>+DL130*DM130</f>
        <v>1530.4723749999998</v>
      </c>
      <c r="DL130" s="272">
        <f>0.179*91.25</f>
        <v>16.333749999999998</v>
      </c>
      <c r="DM130" s="296">
        <v>93.7</v>
      </c>
      <c r="DN130" s="272">
        <f>+DO130*DP130</f>
        <v>1451.993725</v>
      </c>
      <c r="DO130" s="272">
        <f>0.182*91.25</f>
        <v>16.607499999999998</v>
      </c>
      <c r="DP130" s="296">
        <v>87.43</v>
      </c>
      <c r="DQ130" s="272">
        <f t="shared" si="567"/>
        <v>1215.8989500000002</v>
      </c>
      <c r="DR130" s="272">
        <f t="shared" si="567"/>
        <v>18.067500000000006</v>
      </c>
      <c r="DS130" s="296">
        <f>+DQ130/DR130</f>
        <v>67.297575757575743</v>
      </c>
      <c r="DT130" s="277">
        <f>+DU130*DV130</f>
        <v>5659.5403500000002</v>
      </c>
      <c r="DU130" s="277">
        <f>0.183*365</f>
        <v>66.795000000000002</v>
      </c>
      <c r="DV130" s="297">
        <v>84.73</v>
      </c>
      <c r="DW130" s="99">
        <f>+DX130*DY130</f>
        <v>203.41267500000001</v>
      </c>
      <c r="DX130" s="99">
        <f>0.053*91.25</f>
        <v>4.8362499999999997</v>
      </c>
      <c r="DY130" s="298">
        <v>42.06</v>
      </c>
      <c r="DZ130" s="99">
        <f>+EA130*EB130</f>
        <v>203.94466249999999</v>
      </c>
      <c r="EA130" s="99">
        <f>0.053*91.25</f>
        <v>4.8362499999999997</v>
      </c>
      <c r="EB130" s="298">
        <v>42.17</v>
      </c>
      <c r="EC130" s="99">
        <f>+ED130*EE130</f>
        <v>197.33724999999998</v>
      </c>
      <c r="ED130" s="99">
        <f>0.055*91.25</f>
        <v>5.0187499999999998</v>
      </c>
      <c r="EE130" s="298">
        <v>39.32</v>
      </c>
      <c r="EF130" s="99">
        <f t="shared" si="568"/>
        <v>140.14631250000011</v>
      </c>
      <c r="EG130" s="99">
        <f t="shared" si="568"/>
        <v>5.0187500000000007</v>
      </c>
      <c r="EH130" s="298">
        <f>+EF130/EG130</f>
        <v>27.924545454545473</v>
      </c>
      <c r="EI130" s="282">
        <f>+EJ130*EK130</f>
        <v>744.84090000000003</v>
      </c>
      <c r="EJ130" s="282">
        <f>0.054*365</f>
        <v>19.71</v>
      </c>
      <c r="EK130" s="299">
        <v>37.79</v>
      </c>
      <c r="EL130" s="344">
        <v>93.17</v>
      </c>
      <c r="EM130" s="344">
        <v>4.37</v>
      </c>
      <c r="EN130" s="344">
        <v>9.56</v>
      </c>
      <c r="EO130" s="74">
        <v>5.21</v>
      </c>
      <c r="EP130" s="74">
        <v>4.6100000000000003</v>
      </c>
      <c r="EQ130" s="74">
        <v>3.96</v>
      </c>
      <c r="ER130" s="74">
        <v>3.8</v>
      </c>
      <c r="ES130" s="74">
        <v>11.19</v>
      </c>
      <c r="ET130" s="74">
        <v>10.15</v>
      </c>
      <c r="EU130" s="74">
        <v>9.83</v>
      </c>
      <c r="EV130" s="74">
        <v>7.41</v>
      </c>
      <c r="EW130" s="74">
        <v>98.68</v>
      </c>
      <c r="EX130" s="74">
        <v>103.35</v>
      </c>
      <c r="EY130" s="74">
        <v>97.87</v>
      </c>
      <c r="EZ130" s="74">
        <v>73.209999999999994</v>
      </c>
    </row>
    <row r="131" spans="1:156" ht="26.25" customHeight="1" x14ac:dyDescent="0.3">
      <c r="A131" s="43" t="s">
        <v>55</v>
      </c>
      <c r="B131" s="43" t="s">
        <v>56</v>
      </c>
      <c r="C131" s="53">
        <v>2015</v>
      </c>
      <c r="D131" s="52">
        <v>155</v>
      </c>
      <c r="E131" s="52">
        <v>73</v>
      </c>
      <c r="F131" s="52">
        <v>20</v>
      </c>
      <c r="G131" s="52">
        <f t="shared" si="524"/>
        <v>118.83333333333333</v>
      </c>
      <c r="H131" s="52">
        <f t="shared" si="525"/>
        <v>713</v>
      </c>
      <c r="I131" s="52">
        <f>201+4</f>
        <v>205</v>
      </c>
      <c r="J131" s="52">
        <f>13+73</f>
        <v>86</v>
      </c>
      <c r="K131" s="52">
        <v>7</v>
      </c>
      <c r="L131" s="52">
        <f>I131/6+J131+K131</f>
        <v>127.16666666666666</v>
      </c>
      <c r="M131" s="52">
        <f>I131+J131*6+K131*6</f>
        <v>763</v>
      </c>
      <c r="N131" s="52">
        <f>G131+L131</f>
        <v>246</v>
      </c>
      <c r="O131" s="52">
        <f>H131+M131</f>
        <v>1476</v>
      </c>
      <c r="P131" s="54">
        <f>+H131/O131</f>
        <v>0.48306233062330622</v>
      </c>
      <c r="Q131" s="54">
        <f t="shared" si="523"/>
        <v>0.21739130434782608</v>
      </c>
      <c r="R131" s="54">
        <f t="shared" si="385"/>
        <v>0.61430575035063117</v>
      </c>
      <c r="S131" s="54">
        <f t="shared" si="386"/>
        <v>0.16830294530154277</v>
      </c>
      <c r="T131" s="208">
        <v>242</v>
      </c>
      <c r="U131" s="208">
        <v>45</v>
      </c>
      <c r="V131" s="208">
        <v>206</v>
      </c>
      <c r="W131" s="52">
        <f>+T131*6+U131*6+V131</f>
        <v>1928</v>
      </c>
      <c r="X131" s="52">
        <f t="shared" si="534"/>
        <v>-1832</v>
      </c>
      <c r="Y131" s="52">
        <f>+T131+U131+V131/6</f>
        <v>321.33333333333331</v>
      </c>
      <c r="Z131" s="52">
        <f t="shared" si="535"/>
        <v>-305.33333333333331</v>
      </c>
      <c r="AA131" s="205">
        <f t="shared" si="561"/>
        <v>-0.48723404255319147</v>
      </c>
      <c r="AB131" s="44"/>
      <c r="AC131" s="45">
        <v>-600</v>
      </c>
      <c r="AD131" s="45">
        <v>0</v>
      </c>
      <c r="AE131" s="45">
        <v>0</v>
      </c>
      <c r="AF131" s="45">
        <v>123</v>
      </c>
      <c r="AG131" s="55">
        <f>SUM(AC131:AF131)</f>
        <v>-477</v>
      </c>
      <c r="AH131" s="45">
        <v>-220</v>
      </c>
      <c r="AI131" s="45">
        <v>0</v>
      </c>
      <c r="AJ131" s="45">
        <v>0</v>
      </c>
      <c r="AK131" s="45">
        <v>81</v>
      </c>
      <c r="AL131" s="55">
        <f>SUM(AH131:AK131)</f>
        <v>-139</v>
      </c>
      <c r="AM131" s="45">
        <v>-28</v>
      </c>
      <c r="AN131" s="45">
        <v>0</v>
      </c>
      <c r="AO131" s="45">
        <v>0</v>
      </c>
      <c r="AP131" s="45">
        <v>12</v>
      </c>
      <c r="AQ131" s="55">
        <f>SUM(AM131:AP131)</f>
        <v>-16</v>
      </c>
      <c r="AR131" s="55">
        <f t="shared" si="531"/>
        <v>-1407</v>
      </c>
      <c r="AS131" s="55">
        <f t="shared" si="532"/>
        <v>-234.5</v>
      </c>
      <c r="AT131" s="46">
        <v>25</v>
      </c>
      <c r="AU131" s="46">
        <v>37</v>
      </c>
      <c r="AV131" s="46">
        <v>74</v>
      </c>
      <c r="AW131" s="46">
        <v>2880</v>
      </c>
      <c r="AX131" s="50">
        <f t="shared" si="390"/>
        <v>3016</v>
      </c>
      <c r="AY131" s="52">
        <f>SUM(AX129:AX131)</f>
        <v>12119</v>
      </c>
      <c r="AZ131" s="52">
        <f t="shared" si="539"/>
        <v>369.33333333333337</v>
      </c>
      <c r="BA131" s="52">
        <f t="shared" si="540"/>
        <v>2216</v>
      </c>
      <c r="BB131" s="50">
        <f>AY131/AZ131</f>
        <v>32.813176895306853</v>
      </c>
      <c r="BC131" s="50">
        <f>AY131/BA131</f>
        <v>5.4688628158844761</v>
      </c>
      <c r="BD131" s="44"/>
      <c r="BE131" s="47">
        <v>1571</v>
      </c>
      <c r="BF131" s="48">
        <v>1270</v>
      </c>
      <c r="BG131" s="48">
        <v>0</v>
      </c>
      <c r="BH131" s="47">
        <f t="shared" si="562"/>
        <v>554.04176005870988</v>
      </c>
      <c r="BI131" s="48">
        <v>1000</v>
      </c>
      <c r="BJ131" s="48">
        <v>0</v>
      </c>
      <c r="BK131" s="47">
        <f t="shared" si="563"/>
        <v>436.2533543769369</v>
      </c>
      <c r="BL131" s="48">
        <v>0</v>
      </c>
      <c r="BM131" s="48">
        <v>307</v>
      </c>
      <c r="BN131" s="47">
        <f t="shared" si="564"/>
        <v>307</v>
      </c>
      <c r="BO131" s="48">
        <f>246+138</f>
        <v>384</v>
      </c>
      <c r="BP131" s="48">
        <v>0</v>
      </c>
      <c r="BQ131" s="47">
        <f t="shared" si="565"/>
        <v>167.52128808074377</v>
      </c>
      <c r="BR131" s="48">
        <v>8304</v>
      </c>
      <c r="BS131" s="48">
        <v>9195</v>
      </c>
      <c r="BT131" s="202">
        <f t="shared" si="543"/>
        <v>0.43625335437693691</v>
      </c>
      <c r="BU131" s="49">
        <f t="shared" si="544"/>
        <v>3035.8164025163906</v>
      </c>
      <c r="BV131" s="50">
        <f t="shared" si="545"/>
        <v>25.546842096912123</v>
      </c>
      <c r="BW131" s="50">
        <f t="shared" si="546"/>
        <v>4.2578070161520207</v>
      </c>
      <c r="BX131" s="44"/>
      <c r="BY131" s="91">
        <f t="shared" si="547"/>
        <v>6051.8164025163906</v>
      </c>
      <c r="BZ131" s="56">
        <f>(BY131*0.1)</f>
        <v>605.18164025163912</v>
      </c>
      <c r="CA131" s="141">
        <f t="shared" si="533"/>
        <v>0.20065704252375302</v>
      </c>
      <c r="CB131" s="56">
        <f t="shared" si="549"/>
        <v>5.0926926248384783</v>
      </c>
      <c r="CC131" s="56">
        <f t="shared" si="550"/>
        <v>0.84878210413974631</v>
      </c>
      <c r="CD131" s="56">
        <f t="shared" si="551"/>
        <v>25.380084151472651</v>
      </c>
      <c r="CE131" s="56">
        <f t="shared" si="551"/>
        <v>4.2300140252454419</v>
      </c>
      <c r="CF131" s="56">
        <f t="shared" si="552"/>
        <v>58.360018992218976</v>
      </c>
      <c r="CG131" s="56">
        <f>CB131+CF131</f>
        <v>63.452711617057453</v>
      </c>
      <c r="CH131" s="56">
        <f>CF131+CD131</f>
        <v>83.740103143691627</v>
      </c>
      <c r="CI131" s="56">
        <f t="shared" si="555"/>
        <v>9.7266698320364959</v>
      </c>
      <c r="CJ131" s="56">
        <f>+CI131+CC131</f>
        <v>10.575451936176242</v>
      </c>
      <c r="CK131" s="56">
        <f>+CI131+CE131</f>
        <v>13.956683857281938</v>
      </c>
      <c r="CL131" s="51">
        <v>4</v>
      </c>
      <c r="CM131" s="56">
        <f t="shared" si="558"/>
        <v>5.8360018992218974</v>
      </c>
      <c r="CN131" s="56">
        <f t="shared" si="559"/>
        <v>693.51155902420214</v>
      </c>
      <c r="CO131" s="173">
        <f t="shared" si="560"/>
        <v>0.22994415087009354</v>
      </c>
      <c r="CP131" s="174">
        <v>76</v>
      </c>
      <c r="CQ131" s="328"/>
      <c r="CR131" s="82"/>
      <c r="CS131" s="270">
        <f>+CT131*CU131</f>
        <v>101.56398750000001</v>
      </c>
      <c r="CT131" s="269">
        <f>0.447*91.25</f>
        <v>40.78875</v>
      </c>
      <c r="CU131" s="133">
        <v>2.4900000000000002</v>
      </c>
      <c r="CV131" s="269">
        <f>+CW131*CX131</f>
        <v>83.341362499999988</v>
      </c>
      <c r="CW131" s="269">
        <f>0.437*91.25</f>
        <v>39.876249999999999</v>
      </c>
      <c r="CX131" s="133">
        <v>2.09</v>
      </c>
      <c r="CY131" s="269">
        <f>+CZ131*DA131</f>
        <v>85.643600000000006</v>
      </c>
      <c r="CZ131" s="269">
        <f>0.419*91.25</f>
        <v>38.233750000000001</v>
      </c>
      <c r="DA131" s="133">
        <v>2.2400000000000002</v>
      </c>
      <c r="DB131" s="269">
        <f t="shared" si="566"/>
        <v>62.701049999999995</v>
      </c>
      <c r="DC131" s="269">
        <f t="shared" si="566"/>
        <v>36.101250000000007</v>
      </c>
      <c r="DD131" s="133">
        <f>+DB131/DC131</f>
        <v>1.7368110522488829</v>
      </c>
      <c r="DE131" s="274">
        <f>+DF131*DG131</f>
        <v>333.25</v>
      </c>
      <c r="DF131" s="274">
        <v>155</v>
      </c>
      <c r="DG131" s="273">
        <v>2.15</v>
      </c>
      <c r="DH131" s="272">
        <f>+DI131*DJ131</f>
        <v>717.1155</v>
      </c>
      <c r="DI131" s="272">
        <f>0.18*91.25</f>
        <v>16.425000000000001</v>
      </c>
      <c r="DJ131" s="296">
        <v>43.66</v>
      </c>
      <c r="DK131" s="272">
        <f>+DL131*DM131</f>
        <v>903.03920000000005</v>
      </c>
      <c r="DL131" s="272">
        <f>0.188*91.25</f>
        <v>17.155000000000001</v>
      </c>
      <c r="DM131" s="296">
        <v>52.64</v>
      </c>
      <c r="DN131" s="272">
        <f>+DO131*DP131</f>
        <v>827.99519999999984</v>
      </c>
      <c r="DO131" s="272">
        <f>0.204*91.25</f>
        <v>18.614999999999998</v>
      </c>
      <c r="DP131" s="296">
        <v>44.48</v>
      </c>
      <c r="DQ131" s="272">
        <f t="shared" si="567"/>
        <v>839.77010000000007</v>
      </c>
      <c r="DR131" s="272">
        <f t="shared" si="567"/>
        <v>20.805000000000003</v>
      </c>
      <c r="DS131" s="296">
        <f>+DQ131/DR131</f>
        <v>40.363859649122801</v>
      </c>
      <c r="DT131" s="277">
        <f>+DU131*DV131</f>
        <v>3287.92</v>
      </c>
      <c r="DU131" s="277">
        <v>73</v>
      </c>
      <c r="DV131" s="297">
        <v>45.04</v>
      </c>
      <c r="DW131" s="99">
        <f>+DX131*DY131</f>
        <v>79.022500000000008</v>
      </c>
      <c r="DX131" s="99">
        <f>0.05*91.25</f>
        <v>4.5625</v>
      </c>
      <c r="DY131" s="298">
        <v>17.32</v>
      </c>
      <c r="DZ131" s="99">
        <f>+EA131*EB131</f>
        <v>80.602949999999993</v>
      </c>
      <c r="EA131" s="99">
        <f>0.051*91.25</f>
        <v>4.6537499999999996</v>
      </c>
      <c r="EB131" s="298">
        <v>17.32</v>
      </c>
      <c r="EC131" s="99">
        <f>+ED131*EE131</f>
        <v>72.613100000000003</v>
      </c>
      <c r="ED131" s="99">
        <f>0.058*91.25</f>
        <v>5.2925000000000004</v>
      </c>
      <c r="EE131" s="298">
        <v>13.72</v>
      </c>
      <c r="EF131" s="99">
        <f t="shared" si="568"/>
        <v>75.912700000000001</v>
      </c>
      <c r="EG131" s="99">
        <f t="shared" si="568"/>
        <v>5.5662500000000001</v>
      </c>
      <c r="EH131" s="298">
        <f>+EF131/EG131</f>
        <v>13.638032786885246</v>
      </c>
      <c r="EI131" s="300">
        <f>+EJ131*EK131</f>
        <v>308.15125</v>
      </c>
      <c r="EJ131" s="300">
        <f>0.055*365</f>
        <v>20.074999999999999</v>
      </c>
      <c r="EK131" s="301">
        <v>15.35</v>
      </c>
      <c r="EL131" s="344">
        <v>48.66</v>
      </c>
      <c r="EM131" s="344">
        <v>2.62</v>
      </c>
      <c r="EN131" s="344">
        <v>4.97</v>
      </c>
      <c r="EO131" s="331">
        <v>2.9</v>
      </c>
      <c r="EP131" s="331">
        <v>2.75</v>
      </c>
      <c r="EQ131" s="331">
        <v>2.76</v>
      </c>
      <c r="ER131" s="331">
        <v>2.12</v>
      </c>
      <c r="ES131" s="331">
        <v>5.43</v>
      </c>
      <c r="ET131" s="331">
        <v>5.2</v>
      </c>
      <c r="EU131" s="331">
        <v>4.68</v>
      </c>
      <c r="EV131" s="331">
        <v>4.5999999999999996</v>
      </c>
      <c r="EW131" s="331">
        <v>48.49</v>
      </c>
      <c r="EX131" s="331">
        <v>57.85</v>
      </c>
      <c r="EY131" s="331">
        <v>46.64</v>
      </c>
      <c r="EZ131" s="331">
        <v>41.94</v>
      </c>
    </row>
    <row r="132" spans="1:156" ht="26.25" customHeight="1" x14ac:dyDescent="0.3">
      <c r="A132" s="228" t="s">
        <v>55</v>
      </c>
      <c r="B132" s="228" t="s">
        <v>56</v>
      </c>
      <c r="C132" s="229">
        <v>2016</v>
      </c>
      <c r="D132" s="216">
        <v>132</v>
      </c>
      <c r="E132" s="216">
        <v>69</v>
      </c>
      <c r="F132" s="216">
        <v>19</v>
      </c>
      <c r="G132" s="216">
        <f t="shared" si="524"/>
        <v>110</v>
      </c>
      <c r="H132" s="216">
        <f t="shared" si="525"/>
        <v>660</v>
      </c>
      <c r="I132" s="216">
        <f>214+3</f>
        <v>217</v>
      </c>
      <c r="J132" s="216">
        <f>62+12</f>
        <v>74</v>
      </c>
      <c r="K132" s="216">
        <v>11</v>
      </c>
      <c r="L132" s="216">
        <f>I132/6+J132+K132</f>
        <v>121.16666666666666</v>
      </c>
      <c r="M132" s="216">
        <f>I132+J132*6+K132*6</f>
        <v>727</v>
      </c>
      <c r="N132" s="216">
        <f>G132+L132</f>
        <v>231.16666666666666</v>
      </c>
      <c r="O132" s="216">
        <f>H132+M132</f>
        <v>1387</v>
      </c>
      <c r="P132" s="302">
        <f>+H132/O132</f>
        <v>0.47584715212689255</v>
      </c>
      <c r="Q132" s="302">
        <f t="shared" si="523"/>
        <v>0.2</v>
      </c>
      <c r="R132" s="302">
        <f>E132/G132</f>
        <v>0.62727272727272732</v>
      </c>
      <c r="S132" s="302">
        <f>F132/G132</f>
        <v>0.17272727272727273</v>
      </c>
      <c r="T132" s="209">
        <v>290</v>
      </c>
      <c r="U132" s="209">
        <v>70</v>
      </c>
      <c r="V132" s="209">
        <v>337</v>
      </c>
      <c r="W132" s="216">
        <f>+T132*6+U132*6+V132</f>
        <v>2497</v>
      </c>
      <c r="X132" s="216">
        <f>W132-W131</f>
        <v>569</v>
      </c>
      <c r="Y132" s="216">
        <f>+T132+U132+V132/6</f>
        <v>416.16666666666669</v>
      </c>
      <c r="Z132" s="216">
        <f>Y132-Y131</f>
        <v>94.833333333333371</v>
      </c>
      <c r="AA132" s="206">
        <f>+Z132/Y131</f>
        <v>0.29512448132780095</v>
      </c>
      <c r="AB132" s="230"/>
      <c r="AC132" s="231">
        <v>-1.9E-2</v>
      </c>
      <c r="AD132" s="231">
        <v>0</v>
      </c>
      <c r="AE132" s="231">
        <v>128</v>
      </c>
      <c r="AF132" s="231">
        <v>138</v>
      </c>
      <c r="AG132" s="303">
        <f>SUM(AC132:AF132)</f>
        <v>265.98099999999999</v>
      </c>
      <c r="AH132" s="231">
        <v>-90</v>
      </c>
      <c r="AI132" s="231">
        <v>0</v>
      </c>
      <c r="AJ132" s="231">
        <v>90</v>
      </c>
      <c r="AK132" s="231">
        <v>114</v>
      </c>
      <c r="AL132" s="303">
        <f>SUM(AH132:AK132)</f>
        <v>114</v>
      </c>
      <c r="AM132" s="231">
        <v>1</v>
      </c>
      <c r="AN132" s="231">
        <v>0</v>
      </c>
      <c r="AO132" s="231">
        <v>26</v>
      </c>
      <c r="AP132" s="231">
        <v>28</v>
      </c>
      <c r="AQ132" s="303">
        <f>SUM(AM132:AP132)</f>
        <v>55</v>
      </c>
      <c r="AR132" s="303">
        <f t="shared" si="531"/>
        <v>1279.981</v>
      </c>
      <c r="AS132" s="303">
        <f t="shared" si="532"/>
        <v>213.33016666666666</v>
      </c>
      <c r="AT132" s="232">
        <v>1265</v>
      </c>
      <c r="AU132" s="232">
        <v>797</v>
      </c>
      <c r="AV132" s="232">
        <v>13</v>
      </c>
      <c r="AW132" s="232">
        <v>1417</v>
      </c>
      <c r="AX132" s="215">
        <f t="shared" si="390"/>
        <v>3492</v>
      </c>
      <c r="AY132" s="216">
        <f>SUM(AX130:AX132)</f>
        <v>12165</v>
      </c>
      <c r="AZ132" s="216">
        <f>SUM(AS130:AS132)</f>
        <v>254.83016666666666</v>
      </c>
      <c r="BA132" s="216">
        <f>SUM(AR130:AR132)</f>
        <v>1528.981</v>
      </c>
      <c r="BB132" s="215">
        <f>AY132/AZ132</f>
        <v>47.737676269358481</v>
      </c>
      <c r="BC132" s="215">
        <f>AY132/BA132</f>
        <v>7.9562793782264132</v>
      </c>
      <c r="BD132" s="230"/>
      <c r="BE132" s="212">
        <v>1335</v>
      </c>
      <c r="BF132" s="200">
        <v>1330</v>
      </c>
      <c r="BG132" s="200">
        <v>0</v>
      </c>
      <c r="BH132" s="212">
        <f t="shared" si="562"/>
        <v>574.82620631256907</v>
      </c>
      <c r="BI132" s="200">
        <v>300</v>
      </c>
      <c r="BJ132" s="200">
        <v>0</v>
      </c>
      <c r="BK132" s="212">
        <f t="shared" si="563"/>
        <v>129.66004653666974</v>
      </c>
      <c r="BL132" s="200">
        <v>0</v>
      </c>
      <c r="BM132" s="200">
        <v>240</v>
      </c>
      <c r="BN132" s="212">
        <f t="shared" si="564"/>
        <v>240</v>
      </c>
      <c r="BO132" s="200">
        <f>312+64</f>
        <v>376</v>
      </c>
      <c r="BP132" s="200">
        <v>0</v>
      </c>
      <c r="BQ132" s="212">
        <f t="shared" si="565"/>
        <v>162.50725832595938</v>
      </c>
      <c r="BR132" s="200">
        <v>6377</v>
      </c>
      <c r="BS132" s="211">
        <v>7021</v>
      </c>
      <c r="BT132" s="203">
        <f>+P132*BR132/BS132</f>
        <v>0.43220015512223242</v>
      </c>
      <c r="BU132" s="220">
        <f>BQ132+BN132+BK132+BH132+BE132</f>
        <v>2441.9935111751984</v>
      </c>
      <c r="BV132" s="215">
        <f>BU132/G132</f>
        <v>22.19994101068362</v>
      </c>
      <c r="BW132" s="215">
        <f>BU132/H132</f>
        <v>3.6999901684472705</v>
      </c>
      <c r="BX132" s="230"/>
      <c r="BY132" s="304">
        <f>BU132+AX132</f>
        <v>5933.9935111751984</v>
      </c>
      <c r="BZ132" s="305">
        <f>(BY132*0.1)</f>
        <v>593.39935111751981</v>
      </c>
      <c r="CA132" s="306">
        <f>+BZ132/AX132</f>
        <v>0.1699310856579381</v>
      </c>
      <c r="CB132" s="305">
        <f>BZ132/G132</f>
        <v>5.3945395556138163</v>
      </c>
      <c r="CC132" s="305">
        <f>BZ132/H132</f>
        <v>0.89908992593563608</v>
      </c>
      <c r="CD132" s="305">
        <f>+$AX132/G132</f>
        <v>31.745454545454546</v>
      </c>
      <c r="CE132" s="305">
        <f>+$AX132/H132</f>
        <v>5.290909090909091</v>
      </c>
      <c r="CF132" s="305">
        <f>BB132+BV132</f>
        <v>69.937617280042105</v>
      </c>
      <c r="CG132" s="305">
        <f>CB132+CF132</f>
        <v>75.332156835655923</v>
      </c>
      <c r="CH132" s="305">
        <f>CF132+CD132</f>
        <v>101.68307182549665</v>
      </c>
      <c r="CI132" s="305">
        <f>+BC132+BW132</f>
        <v>11.656269546673684</v>
      </c>
      <c r="CJ132" s="305">
        <f>+CI132+CC132</f>
        <v>12.55535947260932</v>
      </c>
      <c r="CK132" s="305">
        <f>+CI132+CE132</f>
        <v>16.947178637582773</v>
      </c>
      <c r="CL132" s="307">
        <v>4</v>
      </c>
      <c r="CM132" s="305">
        <f>+CF132/10</f>
        <v>6.9937617280042108</v>
      </c>
      <c r="CN132" s="305">
        <f>+CM132*G132</f>
        <v>769.31379008046315</v>
      </c>
      <c r="CO132" s="308">
        <f>+CN132/AX132</f>
        <v>0.22030750002304214</v>
      </c>
      <c r="CP132" s="309">
        <v>56</v>
      </c>
      <c r="CQ132" s="329"/>
      <c r="CR132" s="266"/>
      <c r="CS132" s="313">
        <f>+CT132*CU132</f>
        <v>47.221874999999997</v>
      </c>
      <c r="CT132" s="313">
        <f>0.345*91.25</f>
        <v>31.481249999999999</v>
      </c>
      <c r="CU132" s="314">
        <v>1.5</v>
      </c>
      <c r="CV132" s="313">
        <f>+CW132*CX132</f>
        <v>47.561325000000004</v>
      </c>
      <c r="CW132" s="313">
        <f>0.357*91.25</f>
        <v>32.576250000000002</v>
      </c>
      <c r="CX132" s="314">
        <v>1.46</v>
      </c>
      <c r="CY132" s="313">
        <f>+CZ132*DA132</f>
        <v>73.246374999999986</v>
      </c>
      <c r="CZ132" s="313">
        <f>0.349*91.25</f>
        <v>31.846249999999998</v>
      </c>
      <c r="DA132" s="314">
        <v>2.2999999999999998</v>
      </c>
      <c r="DB132" s="313">
        <f t="shared" si="566"/>
        <v>82.770425000000003</v>
      </c>
      <c r="DC132" s="313">
        <f t="shared" si="566"/>
        <v>36.096249999999998</v>
      </c>
      <c r="DD132" s="314">
        <f>+DB132/DC132</f>
        <v>2.2930477542681027</v>
      </c>
      <c r="DE132" s="315">
        <f>+DF132*DG132</f>
        <v>250.79999999999998</v>
      </c>
      <c r="DF132" s="315">
        <v>132</v>
      </c>
      <c r="DG132" s="316">
        <v>1.9</v>
      </c>
      <c r="DH132" s="317">
        <f>+DI132*DJ132</f>
        <v>529.93984999999998</v>
      </c>
      <c r="DI132" s="317">
        <f>0.197*91.25</f>
        <v>17.97625</v>
      </c>
      <c r="DJ132" s="318">
        <v>29.48</v>
      </c>
      <c r="DK132" s="317">
        <f>+DL132*DM132</f>
        <v>718.29262499999993</v>
      </c>
      <c r="DL132" s="317">
        <f>0.19*91.25</f>
        <v>17.337499999999999</v>
      </c>
      <c r="DM132" s="318">
        <v>41.43</v>
      </c>
      <c r="DN132" s="317">
        <f>+DO132*DP132</f>
        <v>685.25921249999999</v>
      </c>
      <c r="DO132" s="317">
        <f>0.181*91.25</f>
        <v>16.516249999999999</v>
      </c>
      <c r="DP132" s="318">
        <v>41.49</v>
      </c>
      <c r="DQ132" s="317">
        <f t="shared" si="567"/>
        <v>783.72831250000013</v>
      </c>
      <c r="DR132" s="317">
        <f t="shared" si="567"/>
        <v>17.170000000000002</v>
      </c>
      <c r="DS132" s="318">
        <f>+DQ132/DR132</f>
        <v>45.645213308095521</v>
      </c>
      <c r="DT132" s="319">
        <f>+DU132*DV132</f>
        <v>2717.2200000000003</v>
      </c>
      <c r="DU132" s="319">
        <v>69</v>
      </c>
      <c r="DV132" s="320">
        <v>39.380000000000003</v>
      </c>
      <c r="DW132" s="187">
        <f>+DX132*DY132</f>
        <v>47.022950000000002</v>
      </c>
      <c r="DX132" s="187">
        <f>0.052*91.25</f>
        <v>4.7450000000000001</v>
      </c>
      <c r="DY132" s="321">
        <v>9.91</v>
      </c>
      <c r="DZ132" s="187">
        <f>+EA132*EB132</f>
        <v>67.616250000000008</v>
      </c>
      <c r="EA132" s="187">
        <f>0.052*91.25</f>
        <v>4.7450000000000001</v>
      </c>
      <c r="EB132" s="321">
        <v>14.25</v>
      </c>
      <c r="EC132" s="187">
        <f>+ED132*EE132</f>
        <v>76.335187500000004</v>
      </c>
      <c r="ED132" s="187">
        <f>0.055*91.25</f>
        <v>5.0187499999999998</v>
      </c>
      <c r="EE132" s="321">
        <v>15.21</v>
      </c>
      <c r="EF132" s="187">
        <f t="shared" si="568"/>
        <v>88.705612499999972</v>
      </c>
      <c r="EG132" s="187">
        <f t="shared" si="568"/>
        <v>4.4912499999999982</v>
      </c>
      <c r="EH132" s="321">
        <f>+EF132/EG132</f>
        <v>19.750762593932649</v>
      </c>
      <c r="EI132" s="310">
        <f>+EJ132*EK132</f>
        <v>279.68</v>
      </c>
      <c r="EJ132" s="310">
        <v>19</v>
      </c>
      <c r="EK132" s="311">
        <v>14.72</v>
      </c>
      <c r="EL132" s="345">
        <v>43.2</v>
      </c>
      <c r="EM132" s="345">
        <v>2.52</v>
      </c>
      <c r="EN132" s="345">
        <v>5.04</v>
      </c>
      <c r="EO132" s="332">
        <v>1.99</v>
      </c>
      <c r="EP132" s="332">
        <v>2.15</v>
      </c>
      <c r="EQ132" s="332">
        <v>2.88</v>
      </c>
      <c r="ER132" s="332">
        <v>3.04</v>
      </c>
      <c r="ES132" s="332">
        <v>4.0199999999999996</v>
      </c>
      <c r="ET132" s="332">
        <v>5</v>
      </c>
      <c r="EU132" s="332">
        <v>5.04</v>
      </c>
      <c r="EV132" s="332">
        <v>6.05</v>
      </c>
      <c r="EW132" s="332">
        <v>33.35</v>
      </c>
      <c r="EX132" s="332">
        <v>45.46</v>
      </c>
      <c r="EY132" s="332">
        <v>44.85</v>
      </c>
      <c r="EZ132" s="332">
        <v>49.14</v>
      </c>
    </row>
    <row r="133" spans="1:156" ht="26.25" customHeight="1" x14ac:dyDescent="0.3">
      <c r="A133" s="24" t="s">
        <v>58</v>
      </c>
      <c r="B133" s="24" t="s">
        <v>59</v>
      </c>
      <c r="C133" s="1">
        <v>2007</v>
      </c>
      <c r="D133" s="25">
        <v>132.84</v>
      </c>
      <c r="E133" s="25">
        <v>6.8040000000000003</v>
      </c>
      <c r="F133" s="25">
        <v>6.7709999999999999</v>
      </c>
      <c r="G133" s="25">
        <f t="shared" si="524"/>
        <v>35.715000000000003</v>
      </c>
      <c r="H133" s="25">
        <f t="shared" si="525"/>
        <v>214.29</v>
      </c>
      <c r="I133" s="25">
        <f>16.295+1.037+0.917</f>
        <v>18.249000000000002</v>
      </c>
      <c r="J133" s="25">
        <f>0.098+0.979+1.403</f>
        <v>2.48</v>
      </c>
      <c r="K133" s="25">
        <v>0.13600000000000001</v>
      </c>
      <c r="L133" s="25">
        <f t="shared" si="526"/>
        <v>5.6575000000000006</v>
      </c>
      <c r="M133" s="25">
        <f t="shared" si="527"/>
        <v>33.945000000000007</v>
      </c>
      <c r="N133" s="25">
        <f t="shared" si="309"/>
        <v>41.372500000000002</v>
      </c>
      <c r="O133" s="25">
        <f t="shared" si="309"/>
        <v>248.23500000000001</v>
      </c>
      <c r="P133" s="26">
        <f t="shared" si="528"/>
        <v>0.86325457731584987</v>
      </c>
      <c r="Q133" s="26">
        <f t="shared" si="523"/>
        <v>0.61990760184796312</v>
      </c>
      <c r="R133" s="26">
        <f t="shared" si="385"/>
        <v>0.19050818983620327</v>
      </c>
      <c r="S133" s="26">
        <f t="shared" si="386"/>
        <v>0.18958420831583367</v>
      </c>
      <c r="T133" s="207">
        <v>154.81</v>
      </c>
      <c r="U133" s="207">
        <v>58.209000000000003</v>
      </c>
      <c r="V133" s="207">
        <v>926.97500000000002</v>
      </c>
      <c r="W133" s="25">
        <f t="shared" ref="W133:W140" si="569">+T133*6+U133*6+V133</f>
        <v>2205.0889999999999</v>
      </c>
      <c r="X133" s="25"/>
      <c r="Y133" s="25">
        <f t="shared" ref="Y133:Y140" si="570">+T133+U133+V133/6</f>
        <v>367.51483333333334</v>
      </c>
      <c r="Z133" s="25"/>
      <c r="AA133" s="25"/>
      <c r="AB133" s="27"/>
      <c r="AC133" s="28">
        <v>35.542000000000002</v>
      </c>
      <c r="AD133" s="28">
        <v>131.27699999999999</v>
      </c>
      <c r="AE133" s="28">
        <v>184.47800000000001</v>
      </c>
      <c r="AF133" s="28">
        <v>0</v>
      </c>
      <c r="AG133" s="29">
        <f>SUM(AC133:AF133)</f>
        <v>351.29700000000003</v>
      </c>
      <c r="AH133" s="28">
        <v>11.759</v>
      </c>
      <c r="AI133" s="28">
        <v>18.646999999999998</v>
      </c>
      <c r="AJ133" s="28">
        <v>9.5839999999999996</v>
      </c>
      <c r="AK133" s="28">
        <v>0</v>
      </c>
      <c r="AL133" s="29">
        <f>SUM(AH133:AK133)</f>
        <v>39.989999999999995</v>
      </c>
      <c r="AM133" s="28">
        <v>3.8119999999999998</v>
      </c>
      <c r="AN133" s="28">
        <v>4.0449999999999999</v>
      </c>
      <c r="AO133" s="28">
        <v>10.093999999999999</v>
      </c>
      <c r="AP133" s="28">
        <v>0</v>
      </c>
      <c r="AQ133" s="29">
        <f t="shared" ref="AQ133:AQ139" si="571">SUM(AM133:AP133)</f>
        <v>17.951000000000001</v>
      </c>
      <c r="AR133" s="29">
        <f t="shared" si="531"/>
        <v>698.94299999999998</v>
      </c>
      <c r="AS133" s="29">
        <f t="shared" si="532"/>
        <v>116.4905</v>
      </c>
      <c r="AT133" s="30">
        <v>200.767</v>
      </c>
      <c r="AU133" s="30">
        <v>331.52600000000001</v>
      </c>
      <c r="AV133" s="30">
        <f>335.778-1.068</f>
        <v>334.71000000000004</v>
      </c>
      <c r="AW133" s="30">
        <f>1058.259-19.859</f>
        <v>1038.4000000000001</v>
      </c>
      <c r="AX133" s="31">
        <f t="shared" si="390"/>
        <v>1905.4030000000002</v>
      </c>
      <c r="AY133" s="25"/>
      <c r="AZ133" s="25"/>
      <c r="BA133" s="25"/>
      <c r="BB133" s="31"/>
      <c r="BC133" s="31"/>
      <c r="BD133" s="27" t="s">
        <v>60</v>
      </c>
      <c r="BE133" s="32"/>
      <c r="BF133" s="33"/>
      <c r="BG133" s="34"/>
      <c r="BH133" s="32"/>
      <c r="BI133" s="33"/>
      <c r="BJ133" s="34"/>
      <c r="BK133" s="32"/>
      <c r="BL133" s="33"/>
      <c r="BM133" s="34"/>
      <c r="BN133" s="32"/>
      <c r="BO133" s="33"/>
      <c r="BP133" s="34"/>
      <c r="BQ133" s="32"/>
      <c r="BR133" s="34">
        <v>0</v>
      </c>
      <c r="BS133" s="34">
        <v>0</v>
      </c>
      <c r="BT133" s="34"/>
      <c r="BU133" s="35"/>
      <c r="BV133" s="31"/>
      <c r="BW133" s="31"/>
      <c r="BX133" s="27"/>
      <c r="BY133" s="88"/>
      <c r="BZ133" s="36"/>
      <c r="CA133" s="36">
        <f t="shared" si="533"/>
        <v>0</v>
      </c>
      <c r="CB133" s="36"/>
      <c r="CC133" s="36"/>
      <c r="CD133" s="36"/>
      <c r="CE133" s="36"/>
      <c r="CF133" s="36"/>
      <c r="CG133" s="36"/>
      <c r="CH133" s="36"/>
      <c r="CI133" s="36"/>
      <c r="CJ133" s="36"/>
      <c r="CK133" s="36"/>
      <c r="CL133" s="37">
        <v>4</v>
      </c>
      <c r="CM133" s="37"/>
      <c r="CN133" s="37"/>
      <c r="CO133" s="37"/>
      <c r="CP133" s="327"/>
      <c r="CQ133" s="327"/>
      <c r="CS133" s="293"/>
      <c r="CT133" s="227"/>
      <c r="CU133" s="227"/>
      <c r="CV133" s="227"/>
      <c r="CW133" s="227"/>
      <c r="CX133" s="227"/>
      <c r="CY133" s="227"/>
      <c r="CZ133" s="227"/>
      <c r="DA133" s="227"/>
      <c r="DB133" s="227"/>
      <c r="DC133" s="227"/>
      <c r="DD133" s="227"/>
      <c r="DE133" s="275"/>
      <c r="DF133" s="275"/>
      <c r="DG133" s="275"/>
      <c r="DH133" s="226"/>
      <c r="DI133" s="226"/>
      <c r="DJ133" s="226"/>
      <c r="DK133" s="226"/>
      <c r="DL133" s="226"/>
      <c r="DM133" s="226"/>
      <c r="DN133" s="226"/>
      <c r="DO133" s="226"/>
      <c r="DP133" s="226"/>
      <c r="DQ133" s="226"/>
      <c r="DR133" s="226"/>
      <c r="DS133" s="226"/>
      <c r="DT133" s="278"/>
      <c r="DU133" s="278"/>
      <c r="DV133" s="278"/>
      <c r="DW133" s="280"/>
      <c r="DX133" s="280"/>
      <c r="DY133" s="280"/>
      <c r="DZ133" s="280"/>
      <c r="EA133" s="280"/>
      <c r="EB133" s="280"/>
      <c r="EC133" s="280"/>
      <c r="ED133" s="280"/>
      <c r="EE133" s="280"/>
      <c r="EF133" s="280"/>
      <c r="EG133" s="280"/>
      <c r="EH133" s="280"/>
      <c r="EI133" s="283"/>
      <c r="EJ133" s="283"/>
      <c r="EK133" s="294"/>
      <c r="EL133" s="343">
        <v>72.34</v>
      </c>
      <c r="EM133" s="343">
        <v>6.97</v>
      </c>
      <c r="EN133" s="343">
        <v>12.91</v>
      </c>
      <c r="EO133" s="116"/>
      <c r="EP133" s="116"/>
      <c r="EQ133" s="116"/>
      <c r="ER133" s="116"/>
      <c r="ES133" s="116"/>
      <c r="ET133" s="116"/>
      <c r="EU133" s="116"/>
      <c r="EV133" s="116"/>
      <c r="EW133" s="116"/>
      <c r="EX133" s="116"/>
      <c r="EY133" s="116"/>
      <c r="EZ133" s="116"/>
    </row>
    <row r="134" spans="1:156" ht="26.25" customHeight="1" x14ac:dyDescent="0.3">
      <c r="A134" s="24" t="s">
        <v>58</v>
      </c>
      <c r="B134" s="24" t="s">
        <v>59</v>
      </c>
      <c r="C134" s="1">
        <v>2008</v>
      </c>
      <c r="D134" s="25">
        <v>154.274</v>
      </c>
      <c r="E134" s="25">
        <v>8.0679999999999996</v>
      </c>
      <c r="F134" s="25">
        <v>6.984</v>
      </c>
      <c r="G134" s="25">
        <f t="shared" si="524"/>
        <v>40.764333333333333</v>
      </c>
      <c r="H134" s="25">
        <f t="shared" si="525"/>
        <v>244.58600000000001</v>
      </c>
      <c r="I134" s="25">
        <f>3.745+0.866</f>
        <v>4.6109999999999998</v>
      </c>
      <c r="J134" s="25">
        <f>0.88+2.261</f>
        <v>3.141</v>
      </c>
      <c r="K134" s="25">
        <v>0</v>
      </c>
      <c r="L134" s="25">
        <f t="shared" si="526"/>
        <v>3.9095</v>
      </c>
      <c r="M134" s="25">
        <f t="shared" si="527"/>
        <v>23.457000000000001</v>
      </c>
      <c r="N134" s="25">
        <f t="shared" si="309"/>
        <v>44.673833333333334</v>
      </c>
      <c r="O134" s="25">
        <f t="shared" si="309"/>
        <v>268.04300000000001</v>
      </c>
      <c r="P134" s="26">
        <f t="shared" si="528"/>
        <v>0.91248792171405335</v>
      </c>
      <c r="Q134" s="26">
        <f t="shared" ref="Q134:Q159" si="572">D134/H134</f>
        <v>0.63075564423147679</v>
      </c>
      <c r="R134" s="26">
        <f t="shared" si="385"/>
        <v>0.19791811469176485</v>
      </c>
      <c r="S134" s="26">
        <f t="shared" si="386"/>
        <v>0.17132624107675828</v>
      </c>
      <c r="T134" s="207">
        <v>174.393</v>
      </c>
      <c r="U134" s="207">
        <v>63.079000000000001</v>
      </c>
      <c r="V134" s="207">
        <v>1009.31</v>
      </c>
      <c r="W134" s="25">
        <f t="shared" si="569"/>
        <v>2434.1419999999998</v>
      </c>
      <c r="X134" s="25">
        <f t="shared" ref="X134:X141" si="573">W134-W133</f>
        <v>229.05299999999988</v>
      </c>
      <c r="Y134" s="25">
        <f t="shared" si="570"/>
        <v>405.69033333333334</v>
      </c>
      <c r="Z134" s="25">
        <f t="shared" ref="Z134:Z141" si="574">Y134-Y133</f>
        <v>38.1755</v>
      </c>
      <c r="AA134" s="204">
        <f>+Z134/Y133</f>
        <v>0.10387471888889745</v>
      </c>
      <c r="AB134" s="27"/>
      <c r="AC134" s="28">
        <v>-92.793999999999997</v>
      </c>
      <c r="AD134" s="28">
        <v>202.28399999999999</v>
      </c>
      <c r="AE134" s="28">
        <v>58.758000000000003</v>
      </c>
      <c r="AF134" s="28">
        <v>0</v>
      </c>
      <c r="AG134" s="29">
        <f t="shared" si="17"/>
        <v>168.24799999999999</v>
      </c>
      <c r="AH134" s="28">
        <f>-8.577</f>
        <v>-8.577</v>
      </c>
      <c r="AI134" s="28">
        <v>17.196000000000002</v>
      </c>
      <c r="AJ134" s="28">
        <v>2.4249999999999998</v>
      </c>
      <c r="AK134" s="28">
        <v>0</v>
      </c>
      <c r="AL134" s="29">
        <f t="shared" si="536"/>
        <v>11.044</v>
      </c>
      <c r="AM134" s="28">
        <v>-6.077</v>
      </c>
      <c r="AN134" s="28">
        <v>5.8410000000000002</v>
      </c>
      <c r="AO134" s="28">
        <v>2.0449999999999999</v>
      </c>
      <c r="AP134" s="28">
        <v>0</v>
      </c>
      <c r="AQ134" s="29">
        <f t="shared" si="571"/>
        <v>1.8090000000000002</v>
      </c>
      <c r="AR134" s="29">
        <f t="shared" si="531"/>
        <v>245.36600000000001</v>
      </c>
      <c r="AS134" s="29">
        <f t="shared" si="532"/>
        <v>40.894333333333329</v>
      </c>
      <c r="AT134" s="30">
        <v>50.125999999999998</v>
      </c>
      <c r="AU134" s="30">
        <f>87.482-2.237</f>
        <v>85.245000000000005</v>
      </c>
      <c r="AV134" s="30">
        <f>322.086-0.749</f>
        <v>321.33699999999999</v>
      </c>
      <c r="AW134" s="30">
        <f>860.754-22.515</f>
        <v>838.23900000000003</v>
      </c>
      <c r="AX134" s="31">
        <f t="shared" si="390"/>
        <v>1294.9470000000001</v>
      </c>
      <c r="AY134" s="25"/>
      <c r="AZ134" s="25"/>
      <c r="BA134" s="25"/>
      <c r="BC134" s="31"/>
      <c r="BD134" s="27" t="s">
        <v>60</v>
      </c>
      <c r="BE134" s="32"/>
      <c r="BF134" s="33"/>
      <c r="BG134" s="34"/>
      <c r="BH134" s="32"/>
      <c r="BI134" s="33"/>
      <c r="BJ134" s="34"/>
      <c r="BK134" s="32"/>
      <c r="BL134" s="33"/>
      <c r="BM134" s="34"/>
      <c r="BN134" s="32"/>
      <c r="BO134" s="33"/>
      <c r="BP134" s="34"/>
      <c r="BQ134" s="32"/>
      <c r="BR134" s="57">
        <v>0</v>
      </c>
      <c r="BS134" s="57">
        <v>0</v>
      </c>
      <c r="BT134" s="57"/>
      <c r="BU134" s="35"/>
      <c r="BV134" s="31"/>
      <c r="BW134" s="31"/>
      <c r="BX134" s="27"/>
      <c r="BY134" s="88"/>
      <c r="BZ134" s="38"/>
      <c r="CA134" s="36">
        <f t="shared" si="533"/>
        <v>0</v>
      </c>
      <c r="CB134" s="38"/>
      <c r="CC134" s="36"/>
      <c r="CD134" s="36"/>
      <c r="CE134" s="36"/>
      <c r="CF134" s="89"/>
      <c r="CG134" s="36"/>
      <c r="CH134" s="36"/>
      <c r="CI134" s="36"/>
      <c r="CJ134" s="36"/>
      <c r="CK134" s="36"/>
      <c r="CL134" s="37">
        <v>4</v>
      </c>
      <c r="CM134" s="37"/>
      <c r="CN134" s="38"/>
      <c r="CO134" s="38"/>
      <c r="CP134" s="327"/>
      <c r="CQ134" s="327"/>
      <c r="CS134" s="271"/>
      <c r="CT134" s="133"/>
      <c r="CU134" s="133"/>
      <c r="CV134" s="133"/>
      <c r="CW134" s="133"/>
      <c r="CX134" s="133"/>
      <c r="CY134" s="133"/>
      <c r="CZ134" s="133"/>
      <c r="DA134" s="133"/>
      <c r="DB134" s="133"/>
      <c r="DC134" s="133"/>
      <c r="DD134" s="133"/>
      <c r="DE134" s="273"/>
      <c r="DF134" s="273"/>
      <c r="DG134" s="273"/>
      <c r="DH134" s="132"/>
      <c r="DI134" s="132"/>
      <c r="DJ134" s="132"/>
      <c r="DK134" s="132"/>
      <c r="DL134" s="132"/>
      <c r="DM134" s="132"/>
      <c r="DN134" s="132"/>
      <c r="DO134" s="132"/>
      <c r="DP134" s="132"/>
      <c r="DQ134" s="132"/>
      <c r="DR134" s="132"/>
      <c r="DS134" s="132"/>
      <c r="DT134" s="276"/>
      <c r="DU134" s="276"/>
      <c r="DV134" s="276"/>
      <c r="DW134" s="279"/>
      <c r="DX134" s="279"/>
      <c r="DY134" s="279"/>
      <c r="DZ134" s="279"/>
      <c r="EA134" s="279"/>
      <c r="EB134" s="279"/>
      <c r="EC134" s="279"/>
      <c r="ED134" s="279"/>
      <c r="EE134" s="279"/>
      <c r="EF134" s="279"/>
      <c r="EG134" s="279"/>
      <c r="EH134" s="279"/>
      <c r="EI134" s="281"/>
      <c r="EJ134" s="281"/>
      <c r="EK134" s="295"/>
      <c r="EL134" s="343">
        <v>99.67</v>
      </c>
      <c r="EM134" s="343">
        <v>8.86</v>
      </c>
      <c r="EN134" s="343">
        <v>15.2</v>
      </c>
      <c r="EO134" s="116"/>
      <c r="EP134" s="116"/>
      <c r="EQ134" s="116"/>
      <c r="ER134" s="116"/>
      <c r="ES134" s="116"/>
      <c r="ET134" s="116"/>
      <c r="EU134" s="116"/>
      <c r="EV134" s="116"/>
      <c r="EW134" s="116"/>
      <c r="EX134" s="116"/>
      <c r="EY134" s="116"/>
      <c r="EZ134" s="116"/>
    </row>
    <row r="135" spans="1:156" ht="26.25" customHeight="1" x14ac:dyDescent="0.3">
      <c r="A135" s="24" t="s">
        <v>58</v>
      </c>
      <c r="B135" s="24" t="s">
        <v>59</v>
      </c>
      <c r="C135" s="1">
        <v>2009</v>
      </c>
      <c r="D135" s="25">
        <v>147.47300000000001</v>
      </c>
      <c r="E135" s="25">
        <v>9.3149999999999995</v>
      </c>
      <c r="F135" s="25">
        <v>7.1929999999999996</v>
      </c>
      <c r="G135" s="25">
        <f t="shared" si="524"/>
        <v>41.086833333333331</v>
      </c>
      <c r="H135" s="25">
        <f t="shared" si="525"/>
        <v>246.52100000000002</v>
      </c>
      <c r="I135" s="25">
        <f>9.321+0.609</f>
        <v>9.93</v>
      </c>
      <c r="J135" s="25">
        <f>0.137+2.383</f>
        <v>2.52</v>
      </c>
      <c r="K135" s="25">
        <v>0</v>
      </c>
      <c r="L135" s="25">
        <f t="shared" si="526"/>
        <v>4.1749999999999998</v>
      </c>
      <c r="M135" s="25">
        <f t="shared" si="527"/>
        <v>25.05</v>
      </c>
      <c r="N135" s="25">
        <f t="shared" si="309"/>
        <v>45.261833333333328</v>
      </c>
      <c r="O135" s="25">
        <f t="shared" si="309"/>
        <v>271.57100000000003</v>
      </c>
      <c r="P135" s="26">
        <f t="shared" si="528"/>
        <v>0.90775892860430607</v>
      </c>
      <c r="Q135" s="26">
        <f t="shared" si="572"/>
        <v>0.59821678477695617</v>
      </c>
      <c r="R135" s="26">
        <f t="shared" si="385"/>
        <v>0.22671496545933206</v>
      </c>
      <c r="S135" s="26">
        <f t="shared" si="386"/>
        <v>0.17506824976371183</v>
      </c>
      <c r="T135" s="207">
        <v>181.07300000000001</v>
      </c>
      <c r="U135" s="207">
        <v>63.819000000000003</v>
      </c>
      <c r="V135" s="207">
        <v>779.07899999999995</v>
      </c>
      <c r="W135" s="25">
        <f t="shared" si="569"/>
        <v>2248.431</v>
      </c>
      <c r="X135" s="25">
        <f t="shared" si="573"/>
        <v>-185.71099999999979</v>
      </c>
      <c r="Y135" s="25">
        <f t="shared" si="570"/>
        <v>374.73849999999999</v>
      </c>
      <c r="Z135" s="25">
        <f t="shared" si="574"/>
        <v>-30.951833333333354</v>
      </c>
      <c r="AA135" s="204">
        <f>+Z135/Y134</f>
        <v>-7.6294234272281616E-2</v>
      </c>
      <c r="AB135" s="27"/>
      <c r="AC135" s="28">
        <v>-335.00599999999997</v>
      </c>
      <c r="AD135" s="28">
        <v>18.864999999999998</v>
      </c>
      <c r="AE135" s="28">
        <v>0</v>
      </c>
      <c r="AF135" s="28">
        <v>0</v>
      </c>
      <c r="AG135" s="29">
        <f t="shared" si="17"/>
        <v>-316.14099999999996</v>
      </c>
      <c r="AH135" s="28">
        <v>21.91</v>
      </c>
      <c r="AI135" s="28">
        <v>10.413</v>
      </c>
      <c r="AJ135" s="28">
        <v>0</v>
      </c>
      <c r="AK135" s="28">
        <v>0</v>
      </c>
      <c r="AL135" s="29">
        <f t="shared" si="536"/>
        <v>32.323</v>
      </c>
      <c r="AM135" s="28">
        <v>8.2629999999999999</v>
      </c>
      <c r="AN135" s="28">
        <v>1.2290000000000001</v>
      </c>
      <c r="AO135" s="28">
        <v>0</v>
      </c>
      <c r="AP135" s="28">
        <v>0</v>
      </c>
      <c r="AQ135" s="29">
        <f t="shared" si="571"/>
        <v>9.4920000000000009</v>
      </c>
      <c r="AR135" s="29">
        <f t="shared" si="531"/>
        <v>-65.250999999999976</v>
      </c>
      <c r="AS135" s="29">
        <f t="shared" si="532"/>
        <v>-10.875166666666662</v>
      </c>
      <c r="AT135" s="30">
        <v>80.087999999999994</v>
      </c>
      <c r="AU135" s="30">
        <v>8.77</v>
      </c>
      <c r="AV135" s="30">
        <f>90.737-1.068</f>
        <v>89.668999999999997</v>
      </c>
      <c r="AW135" s="30">
        <f>255.538-19.859</f>
        <v>235.679</v>
      </c>
      <c r="AX135" s="31">
        <f t="shared" si="390"/>
        <v>414.20600000000002</v>
      </c>
      <c r="AY135" s="25">
        <f t="shared" ref="AY135:AY140" si="575">SUM(AX133:AX135)</f>
        <v>3614.5560000000005</v>
      </c>
      <c r="AZ135" s="25">
        <f t="shared" ref="AZ135:AZ141" si="576">SUM(AS133:AS135)</f>
        <v>146.50966666666665</v>
      </c>
      <c r="BA135" s="25">
        <f t="shared" ref="BA135:BA141" si="577">SUM(AR133:AR135)</f>
        <v>879.05799999999999</v>
      </c>
      <c r="BB135" s="31">
        <f t="shared" ref="BB135:BB140" si="578">AY135/AZ135</f>
        <v>24.671109301092766</v>
      </c>
      <c r="BC135" s="31">
        <f t="shared" ref="BC135:BC140" si="579">AY135/BA135</f>
        <v>4.1118515501821271</v>
      </c>
      <c r="BD135" s="27" t="s">
        <v>60</v>
      </c>
      <c r="BE135" s="32">
        <v>345.9</v>
      </c>
      <c r="BF135" s="34"/>
      <c r="BG135" s="34">
        <v>140</v>
      </c>
      <c r="BH135" s="32">
        <f>IF(BG135=0,BF135*$BT135,BG135)</f>
        <v>140</v>
      </c>
      <c r="BI135" s="34">
        <f>-21.714+10.01</f>
        <v>-11.703999999999999</v>
      </c>
      <c r="BJ135" s="34">
        <v>0</v>
      </c>
      <c r="BK135" s="32">
        <f>IF(BJ135=0,BI135*$BT135,BJ135)</f>
        <v>-10.624410500384798</v>
      </c>
      <c r="BL135" s="34"/>
      <c r="BM135" s="34">
        <v>98.4</v>
      </c>
      <c r="BN135" s="32">
        <f>IF(BM135=0,BL135*$BT135,BM135)</f>
        <v>98.4</v>
      </c>
      <c r="BO135" s="34"/>
      <c r="BP135" s="34">
        <v>183.00399999999999</v>
      </c>
      <c r="BQ135" s="32">
        <f>IF(BP135=0,BO135*$BT135,BP135)</f>
        <v>183.00399999999999</v>
      </c>
      <c r="BR135" s="34">
        <v>1402.4359999999999</v>
      </c>
      <c r="BS135" s="34">
        <v>1402.4359999999999</v>
      </c>
      <c r="BT135" s="201">
        <f t="shared" ref="BT135:BT141" si="580">+P135*BR135/BS135</f>
        <v>0.90775892860430607</v>
      </c>
      <c r="BU135" s="35">
        <f t="shared" ref="BU135:BU141" si="581">BQ135+BN135+BK135+BH135+BE135</f>
        <v>756.67958949961519</v>
      </c>
      <c r="BV135" s="31">
        <f t="shared" ref="BV135:BV141" si="582">BU135/G135</f>
        <v>18.416595490841313</v>
      </c>
      <c r="BW135" s="31">
        <f t="shared" ref="BW135:BW141" si="583">BU135/H135</f>
        <v>3.0694325818068853</v>
      </c>
      <c r="BX135" s="27" t="s">
        <v>61</v>
      </c>
      <c r="BY135" s="90">
        <f t="shared" ref="BY135:BY141" si="584">BU135+AX135</f>
        <v>1170.8855894996152</v>
      </c>
      <c r="BZ135" s="38">
        <f t="shared" ref="BZ135:BZ141" si="585">(BY135*0.1)</f>
        <v>117.08855894996152</v>
      </c>
      <c r="CA135" s="140">
        <f t="shared" si="533"/>
        <v>0.282681947991969</v>
      </c>
      <c r="CB135" s="38">
        <f t="shared" ref="CB135:CB141" si="586">BZ135/G135</f>
        <v>2.8497829949568967</v>
      </c>
      <c r="CC135" s="38">
        <f t="shared" ref="CC135:CC141" si="587">BZ135/H135</f>
        <v>0.4749638324928161</v>
      </c>
      <c r="CD135" s="38">
        <f t="shared" ref="CD135:CE141" si="588">+$AX135/G135</f>
        <v>10.081234458727655</v>
      </c>
      <c r="CE135" s="38">
        <f t="shared" si="588"/>
        <v>1.6802057431212756</v>
      </c>
      <c r="CF135" s="38">
        <f t="shared" ref="CF135:CF141" si="589">BB135+BV135</f>
        <v>43.08770479193408</v>
      </c>
      <c r="CG135" s="38">
        <f t="shared" ref="CG135:CG140" si="590">CB135+CF135</f>
        <v>45.937487786890976</v>
      </c>
      <c r="CH135" s="38">
        <f t="shared" ref="CH135:CH140" si="591">CF135+CD135</f>
        <v>53.168939250661737</v>
      </c>
      <c r="CI135" s="38">
        <f t="shared" ref="CI135:CI141" si="592">+BC135+BW135</f>
        <v>7.1812841319890124</v>
      </c>
      <c r="CJ135" s="38">
        <f t="shared" ref="CJ135:CJ140" si="593">+CI135+CC135</f>
        <v>7.6562479644818282</v>
      </c>
      <c r="CK135" s="38">
        <f t="shared" ref="CK135:CK140" si="594">+CI135+CE135</f>
        <v>8.8614898751102871</v>
      </c>
      <c r="CL135" s="37">
        <v>4</v>
      </c>
      <c r="CM135" s="38">
        <f>+CF135/10</f>
        <v>4.3087704791934076</v>
      </c>
      <c r="CN135" s="38">
        <f t="shared" ref="CN135:CN141" si="595">+CM135*G135</f>
        <v>177.03373455020633</v>
      </c>
      <c r="CO135" s="145">
        <f t="shared" ref="CO135:CO141" si="596">+CN135/AX135</f>
        <v>0.4274050461611042</v>
      </c>
      <c r="CP135" s="62">
        <v>128</v>
      </c>
      <c r="CQ135" s="327"/>
      <c r="CS135" s="271"/>
      <c r="CT135" s="133"/>
      <c r="CU135" s="133"/>
      <c r="CV135" s="133"/>
      <c r="CW135" s="133"/>
      <c r="CX135" s="133"/>
      <c r="CY135" s="133"/>
      <c r="CZ135" s="133"/>
      <c r="DA135" s="133"/>
      <c r="DB135" s="133"/>
      <c r="DC135" s="133"/>
      <c r="DD135" s="133"/>
      <c r="DE135" s="273"/>
      <c r="DF135" s="273"/>
      <c r="DG135" s="273"/>
      <c r="DH135" s="132"/>
      <c r="DI135" s="132"/>
      <c r="DJ135" s="132"/>
      <c r="DK135" s="132"/>
      <c r="DL135" s="132"/>
      <c r="DM135" s="132"/>
      <c r="DN135" s="132"/>
      <c r="DO135" s="132"/>
      <c r="DP135" s="132"/>
      <c r="DQ135" s="132"/>
      <c r="DR135" s="132"/>
      <c r="DS135" s="132"/>
      <c r="DT135" s="276"/>
      <c r="DU135" s="276"/>
      <c r="DV135" s="276"/>
      <c r="DW135" s="279"/>
      <c r="DX135" s="279"/>
      <c r="DY135" s="279"/>
      <c r="DZ135" s="279"/>
      <c r="EA135" s="279"/>
      <c r="EB135" s="279"/>
      <c r="EC135" s="279"/>
      <c r="ED135" s="279"/>
      <c r="EE135" s="279"/>
      <c r="EF135" s="279"/>
      <c r="EG135" s="279"/>
      <c r="EH135" s="279"/>
      <c r="EI135" s="281"/>
      <c r="EJ135" s="281"/>
      <c r="EK135" s="295"/>
      <c r="EL135" s="343">
        <v>61.95</v>
      </c>
      <c r="EM135" s="343">
        <v>3.94</v>
      </c>
      <c r="EN135" s="343">
        <v>8.99</v>
      </c>
      <c r="EO135" s="116"/>
      <c r="EP135" s="116"/>
      <c r="EQ135" s="116"/>
      <c r="ER135" s="116"/>
      <c r="ES135" s="116"/>
      <c r="ET135" s="116"/>
      <c r="EU135" s="116"/>
      <c r="EV135" s="116"/>
      <c r="EW135" s="116"/>
      <c r="EX135" s="116"/>
      <c r="EY135" s="116"/>
      <c r="EZ135" s="116"/>
    </row>
    <row r="136" spans="1:156" ht="26.25" customHeight="1" x14ac:dyDescent="0.3">
      <c r="A136" s="24" t="s">
        <v>58</v>
      </c>
      <c r="B136" s="24" t="s">
        <v>59</v>
      </c>
      <c r="C136" s="1">
        <v>2010</v>
      </c>
      <c r="D136" s="25">
        <v>139.65799999999999</v>
      </c>
      <c r="E136" s="25">
        <v>10.297000000000001</v>
      </c>
      <c r="F136" s="25">
        <v>7.2030000000000003</v>
      </c>
      <c r="G136" s="25">
        <f t="shared" si="524"/>
        <v>40.776333333333334</v>
      </c>
      <c r="H136" s="25">
        <f t="shared" si="525"/>
        <v>244.65800000000002</v>
      </c>
      <c r="I136" s="25">
        <f>10.862+1.04</f>
        <v>11.902000000000001</v>
      </c>
      <c r="J136" s="25">
        <f>0.225+1.781</f>
        <v>2.0059999999999998</v>
      </c>
      <c r="K136" s="25">
        <v>0</v>
      </c>
      <c r="L136" s="25">
        <f t="shared" si="526"/>
        <v>3.9896666666666665</v>
      </c>
      <c r="M136" s="25">
        <f t="shared" si="527"/>
        <v>23.937999999999999</v>
      </c>
      <c r="N136" s="25">
        <f t="shared" si="309"/>
        <v>44.765999999999998</v>
      </c>
      <c r="O136" s="25">
        <f t="shared" si="309"/>
        <v>268.596</v>
      </c>
      <c r="P136" s="26">
        <f t="shared" si="528"/>
        <v>0.91087730271485801</v>
      </c>
      <c r="Q136" s="26">
        <f t="shared" si="572"/>
        <v>0.57082948442315384</v>
      </c>
      <c r="R136" s="26">
        <f t="shared" si="385"/>
        <v>0.25252393136541623</v>
      </c>
      <c r="S136" s="26">
        <f t="shared" si="386"/>
        <v>0.17664658421142984</v>
      </c>
      <c r="T136" s="207">
        <v>207.99299999999999</v>
      </c>
      <c r="U136" s="207">
        <v>75.433000000000007</v>
      </c>
      <c r="V136" s="207">
        <v>898.91099999999994</v>
      </c>
      <c r="W136" s="25">
        <f t="shared" si="569"/>
        <v>2599.4670000000001</v>
      </c>
      <c r="X136" s="25">
        <f t="shared" si="573"/>
        <v>351.03600000000006</v>
      </c>
      <c r="Y136" s="25">
        <f t="shared" si="570"/>
        <v>433.24450000000002</v>
      </c>
      <c r="Z136" s="25">
        <f t="shared" si="574"/>
        <v>58.506000000000029</v>
      </c>
      <c r="AA136" s="204">
        <f t="shared" ref="AA136:AA141" si="597">+Z136/Y135</f>
        <v>0.15612487107676429</v>
      </c>
      <c r="AB136" s="27"/>
      <c r="AC136" s="28">
        <v>188.10900000000001</v>
      </c>
      <c r="AD136" s="28">
        <v>155.44800000000001</v>
      </c>
      <c r="AE136" s="28">
        <v>3.3639999999999999</v>
      </c>
      <c r="AF136" s="28">
        <v>0</v>
      </c>
      <c r="AG136" s="29">
        <f t="shared" si="17"/>
        <v>346.92099999999999</v>
      </c>
      <c r="AH136" s="28">
        <v>12.897</v>
      </c>
      <c r="AI136" s="28">
        <v>31.428000000000001</v>
      </c>
      <c r="AJ136" s="28">
        <v>1.944</v>
      </c>
      <c r="AK136" s="28">
        <v>9.7159999999999993</v>
      </c>
      <c r="AL136" s="29">
        <f t="shared" si="536"/>
        <v>55.985000000000007</v>
      </c>
      <c r="AM136" s="28">
        <v>19.291</v>
      </c>
      <c r="AN136" s="28">
        <v>15.669</v>
      </c>
      <c r="AO136" s="28">
        <v>0.55500000000000005</v>
      </c>
      <c r="AP136" s="28">
        <v>0</v>
      </c>
      <c r="AQ136" s="29">
        <f t="shared" si="571"/>
        <v>35.515000000000001</v>
      </c>
      <c r="AR136" s="29">
        <f t="shared" si="531"/>
        <v>895.92100000000005</v>
      </c>
      <c r="AS136" s="29">
        <f t="shared" si="532"/>
        <v>149.32016666666669</v>
      </c>
      <c r="AT136" s="30">
        <v>175.00700000000001</v>
      </c>
      <c r="AU136" s="30">
        <f>6.566-0.006</f>
        <v>6.56</v>
      </c>
      <c r="AV136" s="30">
        <f>246.186-6.82</f>
        <v>239.36600000000001</v>
      </c>
      <c r="AW136" s="30">
        <f>685.67-14.369</f>
        <v>671.30099999999993</v>
      </c>
      <c r="AX136" s="31">
        <f t="shared" si="390"/>
        <v>1092.2339999999999</v>
      </c>
      <c r="AY136" s="25">
        <f t="shared" si="575"/>
        <v>2801.3870000000002</v>
      </c>
      <c r="AZ136" s="25">
        <f t="shared" si="576"/>
        <v>179.33933333333337</v>
      </c>
      <c r="BA136" s="25">
        <f t="shared" si="577"/>
        <v>1076.0360000000001</v>
      </c>
      <c r="BB136" s="31">
        <f t="shared" si="578"/>
        <v>15.620594478251654</v>
      </c>
      <c r="BC136" s="31">
        <f t="shared" si="579"/>
        <v>2.6034324130419431</v>
      </c>
      <c r="BD136" s="27" t="s">
        <v>60</v>
      </c>
      <c r="BE136" s="32">
        <v>364.8</v>
      </c>
      <c r="BF136" s="34"/>
      <c r="BG136" s="34">
        <v>165</v>
      </c>
      <c r="BH136" s="32">
        <f t="shared" ref="BH136:BH141" si="598">IF(BG136=0,BF136*$BT136,BG136)</f>
        <v>165</v>
      </c>
      <c r="BI136" s="34">
        <v>9.8640000000000008</v>
      </c>
      <c r="BJ136" s="34">
        <v>0</v>
      </c>
      <c r="BK136" s="32">
        <f t="shared" ref="BK136:BK141" si="599">IF(BJ136=0,BI136*$BT136,BJ136)</f>
        <v>8.9848937139793605</v>
      </c>
      <c r="BL136" s="34"/>
      <c r="BM136" s="34">
        <v>112.1</v>
      </c>
      <c r="BN136" s="32">
        <f t="shared" ref="BN136:BN141" si="600">IF(BM136=0,BL136*$BT136,BM136)</f>
        <v>112.1</v>
      </c>
      <c r="BO136" s="34"/>
      <c r="BP136" s="34">
        <v>198.32599999999999</v>
      </c>
      <c r="BQ136" s="32">
        <f t="shared" ref="BQ136:BQ141" si="601">IF(BP136=0,BO136*$BT136,BP136)</f>
        <v>198.32599999999999</v>
      </c>
      <c r="BR136" s="34">
        <v>1718.297</v>
      </c>
      <c r="BS136" s="34">
        <v>1718.297</v>
      </c>
      <c r="BT136" s="201">
        <f t="shared" si="580"/>
        <v>0.91087730271485801</v>
      </c>
      <c r="BU136" s="35">
        <f t="shared" si="581"/>
        <v>849.21089371397943</v>
      </c>
      <c r="BV136" s="31">
        <f t="shared" si="582"/>
        <v>20.826072976497301</v>
      </c>
      <c r="BW136" s="31">
        <f t="shared" si="583"/>
        <v>3.4710121627495498</v>
      </c>
      <c r="BX136" s="27" t="s">
        <v>61</v>
      </c>
      <c r="BY136" s="90">
        <f t="shared" si="584"/>
        <v>1941.4448937139794</v>
      </c>
      <c r="BZ136" s="38">
        <f t="shared" si="585"/>
        <v>194.14448937139795</v>
      </c>
      <c r="CA136" s="140">
        <f t="shared" si="533"/>
        <v>0.17774990466456636</v>
      </c>
      <c r="CB136" s="38">
        <f t="shared" si="586"/>
        <v>4.7612051771386499</v>
      </c>
      <c r="CC136" s="38">
        <f t="shared" si="587"/>
        <v>0.79353419618977483</v>
      </c>
      <c r="CD136" s="38">
        <f t="shared" si="588"/>
        <v>26.785978794889189</v>
      </c>
      <c r="CE136" s="38">
        <f t="shared" si="588"/>
        <v>4.4643297991481985</v>
      </c>
      <c r="CF136" s="38">
        <f t="shared" si="589"/>
        <v>36.446667454748955</v>
      </c>
      <c r="CG136" s="38">
        <f t="shared" si="590"/>
        <v>41.207872631887604</v>
      </c>
      <c r="CH136" s="38">
        <f t="shared" si="591"/>
        <v>63.232646249638144</v>
      </c>
      <c r="CI136" s="38">
        <f t="shared" si="592"/>
        <v>6.0744445757914924</v>
      </c>
      <c r="CJ136" s="38">
        <f t="shared" si="593"/>
        <v>6.8679787719812673</v>
      </c>
      <c r="CK136" s="38">
        <f t="shared" si="594"/>
        <v>10.538774374939692</v>
      </c>
      <c r="CL136" s="37">
        <v>4</v>
      </c>
      <c r="CM136" s="38">
        <f t="shared" ref="CM136:CM141" si="602">+CF136/10</f>
        <v>3.6446667454748956</v>
      </c>
      <c r="CN136" s="38">
        <f t="shared" si="595"/>
        <v>148.61614610239951</v>
      </c>
      <c r="CO136" s="145">
        <f t="shared" si="596"/>
        <v>0.13606621484260656</v>
      </c>
      <c r="CP136" s="63">
        <v>96</v>
      </c>
      <c r="CQ136" s="327"/>
      <c r="CS136" s="271"/>
      <c r="CT136" s="133"/>
      <c r="CU136" s="133"/>
      <c r="CV136" s="133"/>
      <c r="CW136" s="133"/>
      <c r="CX136" s="133"/>
      <c r="CY136" s="133"/>
      <c r="CZ136" s="133"/>
      <c r="DA136" s="133"/>
      <c r="DB136" s="133"/>
      <c r="DC136" s="133"/>
      <c r="DD136" s="133"/>
      <c r="DE136" s="273"/>
      <c r="DF136" s="273"/>
      <c r="DG136" s="273"/>
      <c r="DH136" s="132"/>
      <c r="DI136" s="132"/>
      <c r="DJ136" s="132"/>
      <c r="DK136" s="132"/>
      <c r="DL136" s="132"/>
      <c r="DM136" s="132"/>
      <c r="DN136" s="132"/>
      <c r="DO136" s="132"/>
      <c r="DP136" s="132"/>
      <c r="DQ136" s="132"/>
      <c r="DR136" s="132"/>
      <c r="DS136" s="132"/>
      <c r="DT136" s="276"/>
      <c r="DU136" s="276"/>
      <c r="DV136" s="276"/>
      <c r="DW136" s="279"/>
      <c r="DX136" s="279"/>
      <c r="DY136" s="279"/>
      <c r="DZ136" s="279"/>
      <c r="EA136" s="279"/>
      <c r="EB136" s="279"/>
      <c r="EC136" s="279"/>
      <c r="ED136" s="279"/>
      <c r="EE136" s="279"/>
      <c r="EF136" s="279"/>
      <c r="EG136" s="279"/>
      <c r="EH136" s="279"/>
      <c r="EI136" s="281"/>
      <c r="EJ136" s="281"/>
      <c r="EK136" s="295"/>
      <c r="EL136" s="343">
        <v>79.48</v>
      </c>
      <c r="EM136" s="343">
        <v>4.37</v>
      </c>
      <c r="EN136" s="343">
        <v>11.83</v>
      </c>
      <c r="EO136" s="116"/>
      <c r="EP136" s="116"/>
      <c r="EQ136" s="116"/>
      <c r="ER136" s="116"/>
      <c r="ES136" s="116"/>
      <c r="ET136" s="116"/>
      <c r="EU136" s="116"/>
      <c r="EV136" s="116"/>
      <c r="EW136" s="116"/>
      <c r="EX136" s="116"/>
      <c r="EY136" s="116"/>
      <c r="EZ136" s="116"/>
    </row>
    <row r="137" spans="1:156" ht="26.25" customHeight="1" x14ac:dyDescent="0.3">
      <c r="A137" s="24" t="s">
        <v>58</v>
      </c>
      <c r="B137" s="24" t="s">
        <v>59</v>
      </c>
      <c r="C137" s="1">
        <v>2011</v>
      </c>
      <c r="D137" s="25">
        <v>143.24299999999999</v>
      </c>
      <c r="E137" s="25">
        <v>14.826000000000001</v>
      </c>
      <c r="F137" s="25">
        <v>8.2080000000000002</v>
      </c>
      <c r="G137" s="25">
        <f t="shared" si="524"/>
        <v>46.907833333333329</v>
      </c>
      <c r="H137" s="25">
        <f t="shared" si="525"/>
        <v>281.447</v>
      </c>
      <c r="I137" s="25">
        <f>7.508+0.181</f>
        <v>7.6890000000000001</v>
      </c>
      <c r="J137" s="25">
        <v>0.39300000000000002</v>
      </c>
      <c r="K137" s="25">
        <v>0</v>
      </c>
      <c r="L137" s="25">
        <f t="shared" si="526"/>
        <v>1.6745000000000001</v>
      </c>
      <c r="M137" s="25">
        <f t="shared" si="527"/>
        <v>10.047000000000001</v>
      </c>
      <c r="N137" s="25">
        <f t="shared" si="309"/>
        <v>48.582333333333331</v>
      </c>
      <c r="O137" s="25">
        <f t="shared" si="309"/>
        <v>291.49400000000003</v>
      </c>
      <c r="P137" s="26">
        <f t="shared" si="528"/>
        <v>0.96553273823817976</v>
      </c>
      <c r="Q137" s="26">
        <f t="shared" si="572"/>
        <v>0.50895195187726283</v>
      </c>
      <c r="R137" s="26">
        <f t="shared" si="385"/>
        <v>0.31606661289692201</v>
      </c>
      <c r="S137" s="26">
        <f t="shared" si="386"/>
        <v>0.17498143522581519</v>
      </c>
      <c r="T137" s="207">
        <v>239.79900000000001</v>
      </c>
      <c r="U137" s="207">
        <v>90.63</v>
      </c>
      <c r="V137" s="207">
        <v>677.67499999999995</v>
      </c>
      <c r="W137" s="25">
        <f t="shared" si="569"/>
        <v>2660.2489999999998</v>
      </c>
      <c r="X137" s="25">
        <f t="shared" si="573"/>
        <v>60.781999999999698</v>
      </c>
      <c r="Y137" s="25">
        <f t="shared" si="570"/>
        <v>443.3748333333333</v>
      </c>
      <c r="Z137" s="25">
        <f t="shared" si="574"/>
        <v>10.130333333333283</v>
      </c>
      <c r="AA137" s="204">
        <f t="shared" si="597"/>
        <v>2.3382485717264229E-2</v>
      </c>
      <c r="AB137" s="27"/>
      <c r="AC137" s="28">
        <v>-247.196</v>
      </c>
      <c r="AD137" s="28">
        <v>273.04300000000001</v>
      </c>
      <c r="AE137" s="28">
        <v>4.569</v>
      </c>
      <c r="AF137" s="28">
        <v>0</v>
      </c>
      <c r="AG137" s="29">
        <f t="shared" si="17"/>
        <v>30.416000000000007</v>
      </c>
      <c r="AH137" s="28">
        <v>8.8160000000000007</v>
      </c>
      <c r="AI137" s="28">
        <v>70.864000000000004</v>
      </c>
      <c r="AJ137" s="28">
        <v>2.81</v>
      </c>
      <c r="AK137" s="28">
        <v>1.3939999999999999</v>
      </c>
      <c r="AL137" s="29">
        <f t="shared" si="536"/>
        <v>83.884000000000015</v>
      </c>
      <c r="AM137" s="28">
        <v>-5.75</v>
      </c>
      <c r="AN137" s="28">
        <v>39.911999999999999</v>
      </c>
      <c r="AO137" s="28">
        <v>0.86299999999999999</v>
      </c>
      <c r="AP137" s="28">
        <v>0</v>
      </c>
      <c r="AQ137" s="29">
        <f t="shared" si="571"/>
        <v>35.024999999999999</v>
      </c>
      <c r="AR137" s="29">
        <f t="shared" si="531"/>
        <v>743.87000000000012</v>
      </c>
      <c r="AS137" s="29">
        <f t="shared" si="532"/>
        <v>123.97833333333335</v>
      </c>
      <c r="AT137" s="30">
        <v>124.32599999999999</v>
      </c>
      <c r="AU137" s="30">
        <f>7.571-0.006</f>
        <v>7.5649999999999995</v>
      </c>
      <c r="AV137" s="30">
        <f>567.196-1.222</f>
        <v>565.97400000000005</v>
      </c>
      <c r="AW137" s="30">
        <f>1474.393-18.274</f>
        <v>1456.1190000000001</v>
      </c>
      <c r="AX137" s="31">
        <f t="shared" si="390"/>
        <v>2153.9840000000004</v>
      </c>
      <c r="AY137" s="25">
        <f t="shared" si="575"/>
        <v>3660.4240000000004</v>
      </c>
      <c r="AZ137" s="25">
        <f t="shared" si="576"/>
        <v>262.4233333333334</v>
      </c>
      <c r="BA137" s="25">
        <f t="shared" si="577"/>
        <v>1574.5400000000002</v>
      </c>
      <c r="BB137" s="31">
        <f t="shared" si="578"/>
        <v>13.948546242077049</v>
      </c>
      <c r="BC137" s="31">
        <f t="shared" si="579"/>
        <v>2.324757707012842</v>
      </c>
      <c r="BD137" s="27" t="s">
        <v>60</v>
      </c>
      <c r="BE137" s="32">
        <v>453.1</v>
      </c>
      <c r="BF137" s="34"/>
      <c r="BG137" s="34">
        <v>190</v>
      </c>
      <c r="BH137" s="32">
        <f t="shared" si="598"/>
        <v>190</v>
      </c>
      <c r="BI137" s="34">
        <v>6.9480000000000004</v>
      </c>
      <c r="BJ137" s="34">
        <v>0</v>
      </c>
      <c r="BK137" s="32">
        <f t="shared" si="599"/>
        <v>6.7085214652788734</v>
      </c>
      <c r="BL137" s="34"/>
      <c r="BM137" s="34">
        <v>147.69999999999999</v>
      </c>
      <c r="BN137" s="32">
        <f t="shared" si="600"/>
        <v>147.69999999999999</v>
      </c>
      <c r="BO137" s="34"/>
      <c r="BP137" s="34">
        <v>194.96600000000001</v>
      </c>
      <c r="BQ137" s="32">
        <f t="shared" si="601"/>
        <v>194.96600000000001</v>
      </c>
      <c r="BR137" s="34">
        <v>1985</v>
      </c>
      <c r="BS137" s="34">
        <v>1985</v>
      </c>
      <c r="BT137" s="201">
        <f t="shared" si="580"/>
        <v>0.96553273823817976</v>
      </c>
      <c r="BU137" s="35">
        <f t="shared" si="581"/>
        <v>992.47452146527883</v>
      </c>
      <c r="BV137" s="31">
        <f t="shared" si="582"/>
        <v>21.15796980885095</v>
      </c>
      <c r="BW137" s="31">
        <f t="shared" si="583"/>
        <v>3.5263283014751581</v>
      </c>
      <c r="BX137" s="27" t="s">
        <v>61</v>
      </c>
      <c r="BY137" s="90">
        <f t="shared" si="584"/>
        <v>3146.4585214652793</v>
      </c>
      <c r="BZ137" s="38">
        <f t="shared" si="585"/>
        <v>314.64585214652794</v>
      </c>
      <c r="CA137" s="140">
        <f t="shared" si="533"/>
        <v>0.14607622533246667</v>
      </c>
      <c r="CB137" s="38">
        <f t="shared" si="586"/>
        <v>6.7077464420625121</v>
      </c>
      <c r="CC137" s="38">
        <f t="shared" si="587"/>
        <v>1.1179577403437519</v>
      </c>
      <c r="CD137" s="38">
        <f t="shared" si="588"/>
        <v>45.919494611774162</v>
      </c>
      <c r="CE137" s="38">
        <f t="shared" si="588"/>
        <v>7.6532491019623601</v>
      </c>
      <c r="CF137" s="38">
        <f t="shared" si="589"/>
        <v>35.106516050928001</v>
      </c>
      <c r="CG137" s="38">
        <f t="shared" si="590"/>
        <v>41.814262492990515</v>
      </c>
      <c r="CH137" s="38">
        <f t="shared" si="591"/>
        <v>81.026010662702163</v>
      </c>
      <c r="CI137" s="38">
        <f t="shared" si="592"/>
        <v>5.8510860084880001</v>
      </c>
      <c r="CJ137" s="38">
        <f t="shared" si="593"/>
        <v>6.9690437488317523</v>
      </c>
      <c r="CK137" s="38">
        <f t="shared" si="594"/>
        <v>13.504335110450359</v>
      </c>
      <c r="CL137" s="37">
        <v>4</v>
      </c>
      <c r="CM137" s="38">
        <f t="shared" si="602"/>
        <v>3.5106516050928001</v>
      </c>
      <c r="CN137" s="38">
        <f t="shared" si="595"/>
        <v>164.6770603830922</v>
      </c>
      <c r="CO137" s="145">
        <f t="shared" si="596"/>
        <v>7.6452313658361512E-2</v>
      </c>
      <c r="CP137" s="63">
        <v>108</v>
      </c>
      <c r="CQ137" s="327"/>
      <c r="CS137" s="271"/>
      <c r="CT137" s="133"/>
      <c r="CU137" s="133"/>
      <c r="CV137" s="133"/>
      <c r="CW137" s="133"/>
      <c r="CX137" s="133"/>
      <c r="CY137" s="133"/>
      <c r="CZ137" s="133"/>
      <c r="DA137" s="133"/>
      <c r="DB137" s="133"/>
      <c r="DC137" s="133"/>
      <c r="DD137" s="133"/>
      <c r="DE137" s="273"/>
      <c r="DF137" s="273"/>
      <c r="DG137" s="273"/>
      <c r="DH137" s="132"/>
      <c r="DI137" s="132"/>
      <c r="DJ137" s="132"/>
      <c r="DK137" s="132"/>
      <c r="DL137" s="132"/>
      <c r="DM137" s="132"/>
      <c r="DN137" s="132"/>
      <c r="DO137" s="132"/>
      <c r="DP137" s="132"/>
      <c r="DQ137" s="132"/>
      <c r="DR137" s="132"/>
      <c r="DS137" s="132"/>
      <c r="DT137" s="276"/>
      <c r="DU137" s="276"/>
      <c r="DV137" s="276"/>
      <c r="DW137" s="279"/>
      <c r="DX137" s="279"/>
      <c r="DY137" s="279"/>
      <c r="DZ137" s="279"/>
      <c r="EA137" s="279"/>
      <c r="EB137" s="279"/>
      <c r="EC137" s="279"/>
      <c r="ED137" s="279"/>
      <c r="EE137" s="279"/>
      <c r="EF137" s="279"/>
      <c r="EG137" s="279"/>
      <c r="EH137" s="279"/>
      <c r="EI137" s="281"/>
      <c r="EJ137" s="281"/>
      <c r="EK137" s="295"/>
      <c r="EL137" s="343">
        <v>94.88</v>
      </c>
      <c r="EM137" s="343">
        <v>4</v>
      </c>
      <c r="EN137" s="343">
        <v>15.12</v>
      </c>
      <c r="EO137" s="116"/>
      <c r="EP137" s="116"/>
      <c r="EQ137" s="116"/>
      <c r="ER137" s="116"/>
      <c r="ES137" s="116"/>
      <c r="ET137" s="116"/>
      <c r="EU137" s="116"/>
      <c r="EV137" s="116"/>
      <c r="EW137" s="116"/>
      <c r="EX137" s="116"/>
      <c r="EY137" s="116"/>
      <c r="EZ137" s="116"/>
    </row>
    <row r="138" spans="1:156" ht="26.25" customHeight="1" x14ac:dyDescent="0.3">
      <c r="A138" s="39" t="s">
        <v>58</v>
      </c>
      <c r="B138" s="39" t="s">
        <v>59</v>
      </c>
      <c r="C138" s="22">
        <v>2012</v>
      </c>
      <c r="D138" s="25">
        <v>161.197</v>
      </c>
      <c r="E138" s="25">
        <v>22.99</v>
      </c>
      <c r="F138" s="25">
        <v>10.913</v>
      </c>
      <c r="G138" s="25">
        <f t="shared" si="524"/>
        <v>60.769166666666663</v>
      </c>
      <c r="H138" s="25">
        <f t="shared" si="525"/>
        <v>364.61500000000001</v>
      </c>
      <c r="I138" s="25">
        <v>0</v>
      </c>
      <c r="J138" s="25">
        <v>0</v>
      </c>
      <c r="K138" s="25">
        <v>0</v>
      </c>
      <c r="L138" s="25">
        <f t="shared" si="526"/>
        <v>0</v>
      </c>
      <c r="M138" s="25">
        <f t="shared" si="527"/>
        <v>0</v>
      </c>
      <c r="N138" s="25">
        <f t="shared" si="309"/>
        <v>60.769166666666663</v>
      </c>
      <c r="O138" s="25">
        <f t="shared" si="309"/>
        <v>364.61500000000001</v>
      </c>
      <c r="P138" s="26">
        <f t="shared" si="528"/>
        <v>1</v>
      </c>
      <c r="Q138" s="26">
        <f t="shared" si="572"/>
        <v>0.44210194314550966</v>
      </c>
      <c r="R138" s="26">
        <f t="shared" si="385"/>
        <v>0.37831685476461474</v>
      </c>
      <c r="S138" s="26">
        <f t="shared" si="386"/>
        <v>0.17958120208987563</v>
      </c>
      <c r="T138" s="207">
        <v>256.13799999999998</v>
      </c>
      <c r="U138" s="207">
        <v>97.938999999999993</v>
      </c>
      <c r="V138" s="207">
        <v>592.27099999999996</v>
      </c>
      <c r="W138" s="25">
        <f t="shared" si="569"/>
        <v>2716.7330000000002</v>
      </c>
      <c r="X138" s="25">
        <f t="shared" si="573"/>
        <v>56.484000000000378</v>
      </c>
      <c r="Y138" s="25">
        <f t="shared" si="570"/>
        <v>452.78883333333334</v>
      </c>
      <c r="Z138" s="25">
        <f t="shared" si="574"/>
        <v>9.4140000000000441</v>
      </c>
      <c r="AA138" s="204">
        <f t="shared" si="597"/>
        <v>2.1232598903335842E-2</v>
      </c>
      <c r="AB138" s="27"/>
      <c r="AC138" s="28">
        <v>-485.21600000000001</v>
      </c>
      <c r="AD138" s="28">
        <v>320.24299999999999</v>
      </c>
      <c r="AE138" s="28">
        <v>9.4570000000000007</v>
      </c>
      <c r="AF138" s="28">
        <v>0</v>
      </c>
      <c r="AG138" s="29">
        <f t="shared" si="17"/>
        <v>-155.51600000000002</v>
      </c>
      <c r="AH138" s="28">
        <v>-11.157999999999999</v>
      </c>
      <c r="AI138" s="28">
        <v>78.375</v>
      </c>
      <c r="AJ138" s="28">
        <v>5.383</v>
      </c>
      <c r="AK138" s="28">
        <v>7.4980000000000002</v>
      </c>
      <c r="AL138" s="29">
        <f t="shared" si="536"/>
        <v>80.097999999999999</v>
      </c>
      <c r="AM138" s="28">
        <v>-17.417000000000002</v>
      </c>
      <c r="AN138" s="28">
        <v>48.421999999999997</v>
      </c>
      <c r="AO138" s="28">
        <v>2.0369999999999999</v>
      </c>
      <c r="AP138" s="28">
        <v>0</v>
      </c>
      <c r="AQ138" s="29">
        <f t="shared" si="571"/>
        <v>33.041999999999994</v>
      </c>
      <c r="AR138" s="29">
        <f t="shared" si="531"/>
        <v>523.32399999999984</v>
      </c>
      <c r="AS138" s="29">
        <f t="shared" si="532"/>
        <v>87.220666666666659</v>
      </c>
      <c r="AT138" s="30">
        <v>140.51499999999999</v>
      </c>
      <c r="AU138" s="30">
        <f>16.962-0.024</f>
        <v>16.937999999999999</v>
      </c>
      <c r="AV138" s="30">
        <f>966.828-2.2</f>
        <v>964.62799999999993</v>
      </c>
      <c r="AW138" s="30">
        <f>1881.459-56.648</f>
        <v>1824.8110000000001</v>
      </c>
      <c r="AX138" s="31">
        <f t="shared" si="390"/>
        <v>2946.8919999999998</v>
      </c>
      <c r="AY138" s="25">
        <f t="shared" si="575"/>
        <v>6193.1100000000006</v>
      </c>
      <c r="AZ138" s="25">
        <f t="shared" si="576"/>
        <v>360.51916666666671</v>
      </c>
      <c r="BA138" s="25">
        <f t="shared" si="577"/>
        <v>2163.1149999999998</v>
      </c>
      <c r="BB138" s="31">
        <f t="shared" si="578"/>
        <v>17.178309983519139</v>
      </c>
      <c r="BC138" s="31">
        <f t="shared" si="579"/>
        <v>2.8630516639198569</v>
      </c>
      <c r="BD138" s="27" t="s">
        <v>60</v>
      </c>
      <c r="BE138" s="40">
        <v>532</v>
      </c>
      <c r="BF138" s="34"/>
      <c r="BG138" s="34">
        <v>244.196</v>
      </c>
      <c r="BH138" s="32">
        <f t="shared" si="598"/>
        <v>244.196</v>
      </c>
      <c r="BI138" s="34">
        <f>5.575-1.316</f>
        <v>4.2590000000000003</v>
      </c>
      <c r="BJ138" s="34">
        <v>0</v>
      </c>
      <c r="BK138" s="32">
        <f t="shared" si="599"/>
        <v>4.2590000000000003</v>
      </c>
      <c r="BL138" s="34"/>
      <c r="BM138" s="34">
        <v>169</v>
      </c>
      <c r="BN138" s="32">
        <f t="shared" si="600"/>
        <v>169</v>
      </c>
      <c r="BO138" s="34"/>
      <c r="BP138" s="34">
        <v>215</v>
      </c>
      <c r="BQ138" s="32">
        <f t="shared" si="601"/>
        <v>215</v>
      </c>
      <c r="BR138" s="34">
        <v>2512</v>
      </c>
      <c r="BS138" s="34">
        <v>2512</v>
      </c>
      <c r="BT138" s="201">
        <f t="shared" si="580"/>
        <v>1</v>
      </c>
      <c r="BU138" s="35">
        <f t="shared" si="581"/>
        <v>1164.4549999999999</v>
      </c>
      <c r="BV138" s="31">
        <f t="shared" si="582"/>
        <v>19.161937934533686</v>
      </c>
      <c r="BW138" s="31">
        <f t="shared" si="583"/>
        <v>3.1936563224222807</v>
      </c>
      <c r="BX138" s="27"/>
      <c r="BY138" s="90">
        <f t="shared" si="584"/>
        <v>4111.3469999999998</v>
      </c>
      <c r="BZ138" s="38">
        <f t="shared" si="585"/>
        <v>411.13470000000001</v>
      </c>
      <c r="CA138" s="140">
        <f t="shared" si="533"/>
        <v>0.13951468190894001</v>
      </c>
      <c r="CB138" s="38">
        <f t="shared" si="586"/>
        <v>6.7655148581380367</v>
      </c>
      <c r="CC138" s="38">
        <f t="shared" si="587"/>
        <v>1.1275858096896727</v>
      </c>
      <c r="CD138" s="38">
        <f t="shared" si="588"/>
        <v>48.493210646846677</v>
      </c>
      <c r="CE138" s="38">
        <f t="shared" si="588"/>
        <v>8.082201774474445</v>
      </c>
      <c r="CF138" s="38">
        <f t="shared" si="589"/>
        <v>36.340247918052825</v>
      </c>
      <c r="CG138" s="38">
        <f t="shared" si="590"/>
        <v>43.105762776190858</v>
      </c>
      <c r="CH138" s="38">
        <f t="shared" si="591"/>
        <v>84.833458564899502</v>
      </c>
      <c r="CI138" s="38">
        <f t="shared" si="592"/>
        <v>6.056707986342138</v>
      </c>
      <c r="CJ138" s="38">
        <f t="shared" si="593"/>
        <v>7.1842937960318105</v>
      </c>
      <c r="CK138" s="38">
        <f t="shared" si="594"/>
        <v>14.138909760816583</v>
      </c>
      <c r="CL138" s="37">
        <v>4</v>
      </c>
      <c r="CM138" s="38">
        <f t="shared" si="602"/>
        <v>3.6340247918052824</v>
      </c>
      <c r="CN138" s="38">
        <f t="shared" si="595"/>
        <v>220.83665824401382</v>
      </c>
      <c r="CO138" s="145">
        <f t="shared" si="596"/>
        <v>7.4938836660459168E-2</v>
      </c>
      <c r="CP138" s="63">
        <v>212.67</v>
      </c>
      <c r="CQ138" s="327"/>
      <c r="CS138" s="270">
        <f>+CT138*CU138</f>
        <v>84.611491324999974</v>
      </c>
      <c r="CT138" s="269">
        <f>0.369422*91.25</f>
        <v>33.709757499999995</v>
      </c>
      <c r="CU138" s="133">
        <v>2.5099999999999998</v>
      </c>
      <c r="CV138" s="269">
        <f>+CW138*CX138</f>
        <v>68.020122499999999</v>
      </c>
      <c r="CW138" s="269">
        <f>0.372713*91.25</f>
        <v>34.01006125</v>
      </c>
      <c r="CX138" s="133">
        <v>2</v>
      </c>
      <c r="CY138" s="269">
        <f>+CZ138*DA138</f>
        <v>89.979223300000001</v>
      </c>
      <c r="CZ138" s="269">
        <f>0.376364*91.25</f>
        <v>34.343215000000001</v>
      </c>
      <c r="DA138" s="133">
        <v>2.62</v>
      </c>
      <c r="DB138" s="269">
        <f t="shared" ref="DB138:DC142" si="603">+DE138-CS138-CV138-CY138</f>
        <v>147.55582162500008</v>
      </c>
      <c r="DC138" s="269">
        <f t="shared" si="603"/>
        <v>39.815751250000019</v>
      </c>
      <c r="DD138" s="133">
        <f>+DB138/DC138</f>
        <v>3.705966030843133</v>
      </c>
      <c r="DE138" s="274">
        <f>+DF138*DG138</f>
        <v>390.16665875000007</v>
      </c>
      <c r="DF138" s="274">
        <f>0.388709*365</f>
        <v>141.87878500000002</v>
      </c>
      <c r="DG138" s="273">
        <v>2.75</v>
      </c>
      <c r="DH138" s="272">
        <f>+DI138*DJ138</f>
        <v>5.8241942899999994</v>
      </c>
      <c r="DI138" s="272">
        <v>5.7671E-2</v>
      </c>
      <c r="DJ138" s="296">
        <v>100.99</v>
      </c>
      <c r="DK138" s="272">
        <f>+DL138*DM138</f>
        <v>495.06053759999998</v>
      </c>
      <c r="DL138" s="272">
        <f>0.061428*91.25</f>
        <v>5.6053050000000004</v>
      </c>
      <c r="DM138" s="296">
        <v>88.32</v>
      </c>
      <c r="DN138" s="272">
        <f>+DO138*DP138</f>
        <v>511.30103009999999</v>
      </c>
      <c r="DO138" s="272">
        <f>0.062342*91.25</f>
        <v>5.6887075000000005</v>
      </c>
      <c r="DP138" s="296">
        <v>89.88</v>
      </c>
      <c r="DQ138" s="272">
        <f t="shared" ref="DQ138:DR141" si="604">+DT138-DN138-DK138-DH138</f>
        <v>1088.7800880100003</v>
      </c>
      <c r="DR138" s="272">
        <f t="shared" si="604"/>
        <v>11.733316500000001</v>
      </c>
      <c r="DS138" s="296">
        <f>+DQ138/DR138</f>
        <v>92.793890628451067</v>
      </c>
      <c r="DT138" s="277">
        <f>+DU138*DV138</f>
        <v>2100.96585</v>
      </c>
      <c r="DU138" s="277">
        <v>23.085000000000001</v>
      </c>
      <c r="DV138" s="297">
        <v>91.01</v>
      </c>
      <c r="DW138" s="99">
        <f>+DX138*DY138</f>
        <v>104.85974131249999</v>
      </c>
      <c r="DX138" s="99">
        <f>0.027485*91.25</f>
        <v>2.5080062499999998</v>
      </c>
      <c r="DY138" s="298">
        <v>41.81</v>
      </c>
      <c r="DZ138" s="99">
        <f>+EA138*EB138</f>
        <v>80.248462000000004</v>
      </c>
      <c r="EA138" s="99">
        <f>0.02696*91.25</f>
        <v>2.4601000000000002</v>
      </c>
      <c r="EB138" s="298">
        <v>32.619999999999997</v>
      </c>
      <c r="EC138" s="99">
        <f>+ED138*EE138</f>
        <v>92.731082400000005</v>
      </c>
      <c r="ED138" s="99">
        <f>0.032824*91.25</f>
        <v>2.99519</v>
      </c>
      <c r="EE138" s="298">
        <v>30.96</v>
      </c>
      <c r="EF138" s="99">
        <f t="shared" ref="EF138:EG142" si="605">+EI138-EC138-DZ138-DW138</f>
        <v>90.474464287500027</v>
      </c>
      <c r="EG138" s="99">
        <f t="shared" si="605"/>
        <v>2.9497037500000007</v>
      </c>
      <c r="EH138" s="298">
        <f>+EF138/EG138</f>
        <v>30.672390163757971</v>
      </c>
      <c r="EI138" s="282">
        <f>+EJ138*EK138</f>
        <v>368.31375000000003</v>
      </c>
      <c r="EJ138" s="282">
        <v>10.913</v>
      </c>
      <c r="EK138" s="299">
        <v>33.75</v>
      </c>
      <c r="EL138" s="344">
        <v>94.05</v>
      </c>
      <c r="EM138" s="344">
        <v>2.75</v>
      </c>
      <c r="EN138" s="344">
        <v>10.98</v>
      </c>
      <c r="EO138" s="74">
        <v>2.41</v>
      </c>
      <c r="EP138" s="74">
        <v>2.2799999999999998</v>
      </c>
      <c r="EQ138" s="74">
        <v>2.88</v>
      </c>
      <c r="ER138" s="74">
        <v>3.4</v>
      </c>
      <c r="ES138" s="74">
        <v>13.14</v>
      </c>
      <c r="ET138" s="74">
        <v>10.75</v>
      </c>
      <c r="EU138" s="74">
        <v>9.9600000000000009</v>
      </c>
      <c r="EV138" s="74">
        <v>10.08</v>
      </c>
      <c r="EW138" s="74">
        <v>102.98</v>
      </c>
      <c r="EX138" s="74">
        <v>93.29</v>
      </c>
      <c r="EY138" s="74">
        <v>92.17</v>
      </c>
      <c r="EZ138" s="74">
        <v>88.01</v>
      </c>
    </row>
    <row r="139" spans="1:156" ht="26.25" customHeight="1" x14ac:dyDescent="0.3">
      <c r="A139" s="43" t="s">
        <v>58</v>
      </c>
      <c r="B139" s="43" t="s">
        <v>59</v>
      </c>
      <c r="C139" s="53">
        <v>2013</v>
      </c>
      <c r="D139" s="52">
        <v>157.69</v>
      </c>
      <c r="E139" s="52">
        <v>27.454999999999998</v>
      </c>
      <c r="F139" s="52">
        <v>12.999000000000001</v>
      </c>
      <c r="G139" s="52">
        <f t="shared" si="524"/>
        <v>66.73566666666666</v>
      </c>
      <c r="H139" s="52">
        <f t="shared" si="525"/>
        <v>400.41399999999999</v>
      </c>
      <c r="I139" s="52">
        <v>0</v>
      </c>
      <c r="J139" s="52">
        <v>0</v>
      </c>
      <c r="K139" s="52">
        <v>0</v>
      </c>
      <c r="L139" s="52">
        <f t="shared" si="526"/>
        <v>0</v>
      </c>
      <c r="M139" s="52">
        <f t="shared" si="527"/>
        <v>0</v>
      </c>
      <c r="N139" s="52">
        <f t="shared" si="309"/>
        <v>66.73566666666666</v>
      </c>
      <c r="O139" s="52">
        <f t="shared" si="309"/>
        <v>400.41399999999999</v>
      </c>
      <c r="P139" s="54">
        <f t="shared" si="528"/>
        <v>1</v>
      </c>
      <c r="Q139" s="54">
        <f t="shared" si="572"/>
        <v>0.39381739899204327</v>
      </c>
      <c r="R139" s="54">
        <f t="shared" si="385"/>
        <v>0.41139920182611001</v>
      </c>
      <c r="S139" s="54">
        <f t="shared" si="386"/>
        <v>0.19478339918184681</v>
      </c>
      <c r="T139" s="208">
        <v>45.313000000000002</v>
      </c>
      <c r="U139" s="208">
        <v>13.968</v>
      </c>
      <c r="V139" s="208">
        <v>71.807000000000002</v>
      </c>
      <c r="W139" s="52">
        <f t="shared" si="569"/>
        <v>427.49300000000005</v>
      </c>
      <c r="X139" s="52">
        <f t="shared" si="573"/>
        <v>-2289.2400000000002</v>
      </c>
      <c r="Y139" s="52">
        <f t="shared" si="570"/>
        <v>71.248833333333337</v>
      </c>
      <c r="Z139" s="52">
        <f t="shared" si="574"/>
        <v>-381.54</v>
      </c>
      <c r="AA139" s="205">
        <f t="shared" si="597"/>
        <v>-0.84264445567525414</v>
      </c>
      <c r="AB139" s="44"/>
      <c r="AC139" s="45">
        <v>-304.53100000000001</v>
      </c>
      <c r="AD139" s="45">
        <v>205.899</v>
      </c>
      <c r="AE139" s="45">
        <v>0.50900000000000001</v>
      </c>
      <c r="AF139" s="45">
        <v>0</v>
      </c>
      <c r="AG139" s="55">
        <f t="shared" si="17"/>
        <v>-98.123000000000005</v>
      </c>
      <c r="AH139" s="45">
        <v>-184.35900000000001</v>
      </c>
      <c r="AI139" s="45">
        <v>78.921999999999997</v>
      </c>
      <c r="AJ139" s="45">
        <v>9.6000000000000002E-2</v>
      </c>
      <c r="AK139" s="45">
        <v>0</v>
      </c>
      <c r="AL139" s="55">
        <f t="shared" si="536"/>
        <v>-105.34100000000001</v>
      </c>
      <c r="AM139" s="45">
        <v>-64.986000000000004</v>
      </c>
      <c r="AN139" s="45">
        <v>38.639000000000003</v>
      </c>
      <c r="AO139" s="45">
        <v>0.123</v>
      </c>
      <c r="AP139" s="45">
        <v>0</v>
      </c>
      <c r="AQ139" s="55">
        <f t="shared" si="571"/>
        <v>-26.224</v>
      </c>
      <c r="AR139" s="55">
        <f t="shared" si="531"/>
        <v>-887.51300000000015</v>
      </c>
      <c r="AS139" s="55">
        <f t="shared" si="532"/>
        <v>-147.91883333333334</v>
      </c>
      <c r="AT139" s="46">
        <v>63.161999999999999</v>
      </c>
      <c r="AU139" s="46">
        <v>12.861000000000001</v>
      </c>
      <c r="AV139" s="46">
        <f>1290.472-2.56</f>
        <v>1287.912</v>
      </c>
      <c r="AW139" s="46">
        <f>1481.318-9.954</f>
        <v>1471.364</v>
      </c>
      <c r="AX139" s="50">
        <f t="shared" si="390"/>
        <v>2835.299</v>
      </c>
      <c r="AY139" s="52">
        <f t="shared" si="575"/>
        <v>7936.1750000000002</v>
      </c>
      <c r="AZ139" s="52">
        <f t="shared" si="576"/>
        <v>63.280166666666673</v>
      </c>
      <c r="BA139" s="52">
        <f t="shared" si="577"/>
        <v>379.68099999999981</v>
      </c>
      <c r="BB139" s="50">
        <f t="shared" si="578"/>
        <v>125.41330748707466</v>
      </c>
      <c r="BC139" s="50">
        <f t="shared" si="579"/>
        <v>20.902217914512455</v>
      </c>
      <c r="BD139" s="44" t="s">
        <v>60</v>
      </c>
      <c r="BE139" s="47">
        <v>588</v>
      </c>
      <c r="BF139" s="48"/>
      <c r="BG139" s="48">
        <v>295.86799999999999</v>
      </c>
      <c r="BH139" s="47">
        <f t="shared" si="598"/>
        <v>295.86799999999999</v>
      </c>
      <c r="BI139" s="48">
        <f>10.406-0.044</f>
        <v>10.362</v>
      </c>
      <c r="BJ139" s="48">
        <v>0</v>
      </c>
      <c r="BK139" s="47">
        <f t="shared" si="599"/>
        <v>10.362</v>
      </c>
      <c r="BL139" s="48"/>
      <c r="BM139" s="48">
        <v>192</v>
      </c>
      <c r="BN139" s="47">
        <f t="shared" si="600"/>
        <v>192</v>
      </c>
      <c r="BO139" s="48"/>
      <c r="BP139" s="48">
        <v>194</v>
      </c>
      <c r="BQ139" s="47">
        <f t="shared" si="601"/>
        <v>194</v>
      </c>
      <c r="BR139" s="48">
        <v>3088</v>
      </c>
      <c r="BS139" s="48">
        <v>3088</v>
      </c>
      <c r="BT139" s="202">
        <f t="shared" si="580"/>
        <v>1</v>
      </c>
      <c r="BU139" s="49">
        <f t="shared" si="581"/>
        <v>1280.23</v>
      </c>
      <c r="BV139" s="50">
        <f t="shared" si="582"/>
        <v>19.183594979196535</v>
      </c>
      <c r="BW139" s="50">
        <f t="shared" si="583"/>
        <v>3.1972658298660885</v>
      </c>
      <c r="BX139" s="44"/>
      <c r="BY139" s="91">
        <f t="shared" si="584"/>
        <v>4115.5290000000005</v>
      </c>
      <c r="BZ139" s="56">
        <f t="shared" si="585"/>
        <v>411.55290000000008</v>
      </c>
      <c r="CA139" s="141">
        <f t="shared" si="533"/>
        <v>0.14515326249541938</v>
      </c>
      <c r="CB139" s="56">
        <f t="shared" si="586"/>
        <v>6.1669107473764671</v>
      </c>
      <c r="CC139" s="56">
        <f t="shared" si="587"/>
        <v>1.0278184578960778</v>
      </c>
      <c r="CD139" s="56">
        <f t="shared" si="588"/>
        <v>42.485512494568127</v>
      </c>
      <c r="CE139" s="56">
        <f t="shared" si="588"/>
        <v>7.0809187490946872</v>
      </c>
      <c r="CF139" s="56">
        <f t="shared" si="589"/>
        <v>144.59690246627119</v>
      </c>
      <c r="CG139" s="56">
        <f t="shared" si="590"/>
        <v>150.76381321364767</v>
      </c>
      <c r="CH139" s="56">
        <f t="shared" si="591"/>
        <v>187.08241496083932</v>
      </c>
      <c r="CI139" s="56">
        <f t="shared" si="592"/>
        <v>24.099483744378546</v>
      </c>
      <c r="CJ139" s="38">
        <f t="shared" si="593"/>
        <v>25.127302202274624</v>
      </c>
      <c r="CK139" s="56">
        <f t="shared" si="594"/>
        <v>31.180402493473231</v>
      </c>
      <c r="CL139" s="51">
        <v>4</v>
      </c>
      <c r="CM139" s="56">
        <f t="shared" si="602"/>
        <v>14.459690246627119</v>
      </c>
      <c r="CN139" s="56">
        <f t="shared" si="595"/>
        <v>964.97706840215847</v>
      </c>
      <c r="CO139" s="145">
        <f t="shared" si="596"/>
        <v>0.34034402311789991</v>
      </c>
      <c r="CP139" s="63">
        <v>158.90199999999999</v>
      </c>
      <c r="CQ139" s="327"/>
      <c r="CS139" s="270">
        <f>+CT139*CU139</f>
        <v>104.04106821249999</v>
      </c>
      <c r="CT139" s="269">
        <f>0.359677*91.25</f>
        <v>32.82052625</v>
      </c>
      <c r="CU139" s="133">
        <v>3.17</v>
      </c>
      <c r="CV139" s="269">
        <f>+CW139*CX139</f>
        <v>129.09720769999998</v>
      </c>
      <c r="CW139" s="269">
        <f>0.376267*91.25</f>
        <v>34.334363750000001</v>
      </c>
      <c r="CX139" s="133">
        <v>3.76</v>
      </c>
      <c r="CY139" s="269">
        <f>+CZ139*DA139</f>
        <v>96.642455249999998</v>
      </c>
      <c r="CZ139" s="269">
        <f>0.320938*91.25</f>
        <v>29.2855925</v>
      </c>
      <c r="DA139" s="133">
        <v>3.3</v>
      </c>
      <c r="DB139" s="269">
        <f t="shared" si="603"/>
        <v>143.79241338750006</v>
      </c>
      <c r="DC139" s="269">
        <f t="shared" si="603"/>
        <v>42.437272500000013</v>
      </c>
      <c r="DD139" s="133">
        <f>+DB139/DC139</f>
        <v>3.3883519113416165</v>
      </c>
      <c r="DE139" s="274">
        <f>+DF139*DG139</f>
        <v>473.57314455000005</v>
      </c>
      <c r="DF139" s="274">
        <f>0.380487*365</f>
        <v>138.87775500000001</v>
      </c>
      <c r="DG139" s="273">
        <v>3.41</v>
      </c>
      <c r="DH139" s="272">
        <f>+DI139*DJ139</f>
        <v>550.28026157500005</v>
      </c>
      <c r="DI139" s="272">
        <f>0.068786*91.25</f>
        <v>6.2767225</v>
      </c>
      <c r="DJ139" s="296">
        <v>87.67</v>
      </c>
      <c r="DK139" s="272">
        <f>+DL139*DM139</f>
        <v>572.99665068749994</v>
      </c>
      <c r="DL139" s="272">
        <f>0.069501*91.25</f>
        <v>6.3419662499999996</v>
      </c>
      <c r="DM139" s="296">
        <v>90.35</v>
      </c>
      <c r="DN139" s="272">
        <f>+DO139*DP139</f>
        <v>628.02317925</v>
      </c>
      <c r="DO139" s="272">
        <f>0.067674*91.25</f>
        <v>6.1752525</v>
      </c>
      <c r="DP139" s="296">
        <v>101.7</v>
      </c>
      <c r="DQ139" s="272">
        <f t="shared" si="604"/>
        <v>804.4858584875002</v>
      </c>
      <c r="DR139" s="272">
        <f t="shared" si="604"/>
        <v>8.6610587500000005</v>
      </c>
      <c r="DS139" s="296">
        <f>+DQ139/DR139</f>
        <v>92.885394466063417</v>
      </c>
      <c r="DT139" s="277">
        <f>+DU139*DV139</f>
        <v>2555.78595</v>
      </c>
      <c r="DU139" s="277">
        <v>27.454999999999998</v>
      </c>
      <c r="DV139" s="297">
        <v>93.09</v>
      </c>
      <c r="DW139" s="99">
        <f>+DX139*DY139</f>
        <v>84.341267224999996</v>
      </c>
      <c r="DX139" s="99">
        <f>0.029951*91.25</f>
        <v>2.7330287499999999</v>
      </c>
      <c r="DY139" s="298">
        <v>30.86</v>
      </c>
      <c r="DZ139" s="99">
        <f>+EA139*EB139</f>
        <v>81.334112524999995</v>
      </c>
      <c r="EA139" s="99">
        <f>0.031231*91.25</f>
        <v>2.8498287499999999</v>
      </c>
      <c r="EB139" s="298">
        <v>28.54</v>
      </c>
      <c r="EC139" s="99">
        <f>+ED139*EE139</f>
        <v>88.751674462500006</v>
      </c>
      <c r="ED139" s="99">
        <f>0.031507*91.25</f>
        <v>2.8750137499999999</v>
      </c>
      <c r="EE139" s="298">
        <v>30.87</v>
      </c>
      <c r="EF139" s="99">
        <f t="shared" si="605"/>
        <v>132.81315578749997</v>
      </c>
      <c r="EG139" s="99">
        <f t="shared" si="605"/>
        <v>4.5411287500000013</v>
      </c>
      <c r="EH139" s="298">
        <f>+EF139/EG139</f>
        <v>29.246727652788952</v>
      </c>
      <c r="EI139" s="282">
        <f>+EJ139*EK139</f>
        <v>387.24020999999999</v>
      </c>
      <c r="EJ139" s="282">
        <v>12.999000000000001</v>
      </c>
      <c r="EK139" s="299">
        <v>29.79</v>
      </c>
      <c r="EL139" s="344">
        <v>97.98</v>
      </c>
      <c r="EM139" s="344">
        <v>3.73</v>
      </c>
      <c r="EN139" s="344">
        <v>9.94</v>
      </c>
      <c r="EO139" s="74">
        <v>3.49</v>
      </c>
      <c r="EP139" s="74">
        <v>4.01</v>
      </c>
      <c r="EQ139" s="74">
        <v>3.56</v>
      </c>
      <c r="ER139" s="74">
        <v>3.85</v>
      </c>
      <c r="ES139" s="74">
        <v>9.77</v>
      </c>
      <c r="ET139" s="74">
        <v>9.39</v>
      </c>
      <c r="EU139" s="74">
        <v>10.01</v>
      </c>
      <c r="EV139" s="74">
        <v>10.53</v>
      </c>
      <c r="EW139" s="74">
        <v>94.33</v>
      </c>
      <c r="EX139" s="74">
        <v>94.05</v>
      </c>
      <c r="EY139" s="74">
        <v>105.83</v>
      </c>
      <c r="EZ139" s="74">
        <v>97.44</v>
      </c>
    </row>
    <row r="140" spans="1:156" ht="26.25" customHeight="1" x14ac:dyDescent="0.3">
      <c r="A140" s="43" t="s">
        <v>58</v>
      </c>
      <c r="B140" s="43" t="s">
        <v>59</v>
      </c>
      <c r="C140" s="53">
        <v>2014</v>
      </c>
      <c r="D140" s="52">
        <v>154.42400000000001</v>
      </c>
      <c r="E140" s="52">
        <v>32.718000000000004</v>
      </c>
      <c r="F140" s="52">
        <v>15.760999999999999</v>
      </c>
      <c r="G140" s="52">
        <f t="shared" si="524"/>
        <v>74.216333333333338</v>
      </c>
      <c r="H140" s="52">
        <f t="shared" si="525"/>
        <v>445.298</v>
      </c>
      <c r="I140" s="52">
        <v>0</v>
      </c>
      <c r="J140" s="52">
        <v>0</v>
      </c>
      <c r="K140" s="52">
        <v>0</v>
      </c>
      <c r="L140" s="52">
        <f t="shared" si="526"/>
        <v>0</v>
      </c>
      <c r="M140" s="52">
        <f t="shared" si="527"/>
        <v>0</v>
      </c>
      <c r="N140" s="52">
        <f t="shared" si="309"/>
        <v>74.216333333333338</v>
      </c>
      <c r="O140" s="52">
        <f t="shared" si="309"/>
        <v>445.298</v>
      </c>
      <c r="P140" s="54">
        <f t="shared" si="528"/>
        <v>1</v>
      </c>
      <c r="Q140" s="54">
        <f>D140/H140</f>
        <v>0.34678799365817947</v>
      </c>
      <c r="R140" s="54">
        <f t="shared" si="385"/>
        <v>0.44084635457603671</v>
      </c>
      <c r="S140" s="54">
        <f t="shared" si="386"/>
        <v>0.21236565176578379</v>
      </c>
      <c r="T140" s="208">
        <v>84.891000000000005</v>
      </c>
      <c r="U140" s="208">
        <v>39.037999999999997</v>
      </c>
      <c r="V140" s="208">
        <v>182.583</v>
      </c>
      <c r="W140" s="52">
        <f t="shared" si="569"/>
        <v>926.15699999999993</v>
      </c>
      <c r="X140" s="52">
        <f t="shared" si="573"/>
        <v>498.66399999999987</v>
      </c>
      <c r="Y140" s="52">
        <f t="shared" si="570"/>
        <v>154.3595</v>
      </c>
      <c r="Z140" s="52">
        <f t="shared" si="574"/>
        <v>83.11066666666666</v>
      </c>
      <c r="AA140" s="205">
        <f t="shared" si="597"/>
        <v>1.1664845974086124</v>
      </c>
      <c r="AB140" s="44"/>
      <c r="AC140" s="45">
        <v>-2.5739999999999998</v>
      </c>
      <c r="AD140" s="45">
        <v>275.82499999999999</v>
      </c>
      <c r="AE140" s="45">
        <v>3.2519999999999998</v>
      </c>
      <c r="AF140" s="45">
        <v>0</v>
      </c>
      <c r="AG140" s="55">
        <f>SUM(AC140:AF140)</f>
        <v>276.50299999999999</v>
      </c>
      <c r="AH140" s="45">
        <v>-46.353999999999999</v>
      </c>
      <c r="AI140" s="45">
        <v>114.864</v>
      </c>
      <c r="AJ140" s="45">
        <v>1.139</v>
      </c>
      <c r="AK140" s="45">
        <v>0</v>
      </c>
      <c r="AL140" s="55">
        <f>SUM(AH140:AK140)</f>
        <v>69.649000000000001</v>
      </c>
      <c r="AM140" s="45">
        <v>-20.125</v>
      </c>
      <c r="AN140" s="45">
        <v>55.987000000000002</v>
      </c>
      <c r="AO140" s="45">
        <v>0.64700000000000002</v>
      </c>
      <c r="AP140" s="45">
        <v>0</v>
      </c>
      <c r="AQ140" s="55">
        <f>SUM(AM140:AP140)</f>
        <v>36.509</v>
      </c>
      <c r="AR140" s="55">
        <f t="shared" si="531"/>
        <v>913.45099999999991</v>
      </c>
      <c r="AS140" s="55">
        <f t="shared" si="532"/>
        <v>152.24183333333332</v>
      </c>
      <c r="AT140" s="46">
        <v>85</v>
      </c>
      <c r="AU140" s="46">
        <v>19</v>
      </c>
      <c r="AV140" s="46">
        <f>1943-3</f>
        <v>1940</v>
      </c>
      <c r="AW140" s="46">
        <f>1535-4</f>
        <v>1531</v>
      </c>
      <c r="AX140" s="50">
        <f t="shared" si="390"/>
        <v>3575</v>
      </c>
      <c r="AY140" s="52">
        <f t="shared" si="575"/>
        <v>9357.1909999999989</v>
      </c>
      <c r="AZ140" s="52">
        <f t="shared" si="576"/>
        <v>91.543666666666638</v>
      </c>
      <c r="BA140" s="52">
        <f t="shared" si="577"/>
        <v>549.2619999999996</v>
      </c>
      <c r="BB140" s="50">
        <f t="shared" si="578"/>
        <v>102.21560202599126</v>
      </c>
      <c r="BC140" s="50">
        <f t="shared" si="579"/>
        <v>17.035933670998549</v>
      </c>
      <c r="BD140" s="44"/>
      <c r="BE140" s="47">
        <v>693</v>
      </c>
      <c r="BF140" s="48"/>
      <c r="BG140" s="48">
        <v>333</v>
      </c>
      <c r="BH140" s="47">
        <f t="shared" si="598"/>
        <v>333</v>
      </c>
      <c r="BI140" s="48">
        <v>-4</v>
      </c>
      <c r="BJ140" s="48">
        <v>0</v>
      </c>
      <c r="BK140" s="47">
        <f t="shared" si="599"/>
        <v>-4</v>
      </c>
      <c r="BL140" s="48"/>
      <c r="BM140" s="48">
        <v>220</v>
      </c>
      <c r="BN140" s="47">
        <f t="shared" si="600"/>
        <v>220</v>
      </c>
      <c r="BO140" s="48"/>
      <c r="BP140" s="48">
        <v>188</v>
      </c>
      <c r="BQ140" s="47">
        <f t="shared" si="601"/>
        <v>188</v>
      </c>
      <c r="BR140" s="48">
        <v>3599</v>
      </c>
      <c r="BS140" s="48">
        <v>3599</v>
      </c>
      <c r="BT140" s="202">
        <f t="shared" si="580"/>
        <v>1</v>
      </c>
      <c r="BU140" s="49">
        <f t="shared" si="581"/>
        <v>1430</v>
      </c>
      <c r="BV140" s="50">
        <f t="shared" si="582"/>
        <v>19.267995814039136</v>
      </c>
      <c r="BW140" s="50">
        <f t="shared" si="583"/>
        <v>3.2113326356731897</v>
      </c>
      <c r="BX140" s="44"/>
      <c r="BY140" s="91">
        <f t="shared" si="584"/>
        <v>5005</v>
      </c>
      <c r="BZ140" s="56">
        <f t="shared" si="585"/>
        <v>500.5</v>
      </c>
      <c r="CA140" s="141">
        <f t="shared" si="533"/>
        <v>0.14000000000000001</v>
      </c>
      <c r="CB140" s="56">
        <f t="shared" si="586"/>
        <v>6.7437985349136982</v>
      </c>
      <c r="CC140" s="56">
        <f t="shared" si="587"/>
        <v>1.1239664224856163</v>
      </c>
      <c r="CD140" s="56">
        <f t="shared" si="588"/>
        <v>48.169989535097841</v>
      </c>
      <c r="CE140" s="56">
        <f t="shared" si="588"/>
        <v>8.0283315891829741</v>
      </c>
      <c r="CF140" s="56">
        <f t="shared" si="589"/>
        <v>121.4835978400304</v>
      </c>
      <c r="CG140" s="56">
        <f t="shared" si="590"/>
        <v>128.22739637494411</v>
      </c>
      <c r="CH140" s="56">
        <f t="shared" si="591"/>
        <v>169.65358737512824</v>
      </c>
      <c r="CI140" s="56">
        <f t="shared" si="592"/>
        <v>20.24726630667174</v>
      </c>
      <c r="CJ140" s="56">
        <f t="shared" si="593"/>
        <v>21.371232729157356</v>
      </c>
      <c r="CK140" s="56">
        <f t="shared" si="594"/>
        <v>28.275597895854716</v>
      </c>
      <c r="CL140" s="51">
        <v>4</v>
      </c>
      <c r="CM140" s="56">
        <f t="shared" si="602"/>
        <v>12.14835978400304</v>
      </c>
      <c r="CN140" s="56">
        <f t="shared" si="595"/>
        <v>901.60671918283094</v>
      </c>
      <c r="CO140" s="173">
        <f t="shared" si="596"/>
        <v>0.25219768368750517</v>
      </c>
      <c r="CP140" s="174">
        <v>305</v>
      </c>
      <c r="CQ140" s="328"/>
      <c r="CR140" s="82"/>
      <c r="CS140" s="270">
        <f>+CT140*CU140</f>
        <v>139.30767937500002</v>
      </c>
      <c r="CT140" s="269">
        <f>0.321402*91.25</f>
        <v>29.327932500000003</v>
      </c>
      <c r="CU140" s="133">
        <v>4.75</v>
      </c>
      <c r="CV140" s="269">
        <f>+CW140*CX140</f>
        <v>147.874554225</v>
      </c>
      <c r="CW140" s="269">
        <f>0.369987*91.25</f>
        <v>33.761313749999999</v>
      </c>
      <c r="CX140" s="133">
        <v>4.38</v>
      </c>
      <c r="CY140" s="269">
        <f>+CZ140*DA140</f>
        <v>118.86815296250001</v>
      </c>
      <c r="CZ140" s="269">
        <f>0.343711*91.25</f>
        <v>31.36362875</v>
      </c>
      <c r="DA140" s="133">
        <v>3.79</v>
      </c>
      <c r="DB140" s="269">
        <f t="shared" si="603"/>
        <v>161.21605703749998</v>
      </c>
      <c r="DC140" s="269">
        <f t="shared" si="603"/>
        <v>43.233154999999982</v>
      </c>
      <c r="DD140" s="133">
        <f>+DB140/DC140</f>
        <v>3.7289912576933153</v>
      </c>
      <c r="DE140" s="274">
        <f>+DF140*DG140</f>
        <v>567.2664436</v>
      </c>
      <c r="DF140" s="274">
        <f>0.377222*365</f>
        <v>137.68602999999999</v>
      </c>
      <c r="DG140" s="273">
        <v>4.12</v>
      </c>
      <c r="DH140" s="272">
        <f>+DI140*DJ140</f>
        <v>662.47972857499997</v>
      </c>
      <c r="DI140" s="272">
        <f>0.078589*91.25</f>
        <v>7.1712462500000003</v>
      </c>
      <c r="DJ140" s="296">
        <v>92.38</v>
      </c>
      <c r="DK140" s="272">
        <f>+DL140*DM140</f>
        <v>697.92640975000006</v>
      </c>
      <c r="DL140" s="272">
        <f>0.07978*91.25</f>
        <v>7.2799250000000004</v>
      </c>
      <c r="DM140" s="296">
        <v>95.87</v>
      </c>
      <c r="DN140" s="272">
        <f>+DO140*DP140</f>
        <v>737.34816722499988</v>
      </c>
      <c r="DO140" s="272">
        <f>0.088973*91.25</f>
        <v>8.1187862499999994</v>
      </c>
      <c r="DP140" s="296">
        <v>90.82</v>
      </c>
      <c r="DQ140" s="272">
        <f t="shared" si="604"/>
        <v>699.96187445000044</v>
      </c>
      <c r="DR140" s="272">
        <f t="shared" si="604"/>
        <v>10.148042500000006</v>
      </c>
      <c r="DS140" s="296">
        <f>+DQ140/DR140</f>
        <v>68.975063363205265</v>
      </c>
      <c r="DT140" s="277">
        <f>+DU140*DV140</f>
        <v>2797.7161800000003</v>
      </c>
      <c r="DU140" s="277">
        <v>32.718000000000004</v>
      </c>
      <c r="DV140" s="297">
        <v>85.51</v>
      </c>
      <c r="DW140" s="99">
        <f>+DX140*DY140</f>
        <v>100.317653025</v>
      </c>
      <c r="DX140" s="99">
        <f>0.033497*91.25</f>
        <v>3.0566012499999999</v>
      </c>
      <c r="DY140" s="298">
        <v>32.82</v>
      </c>
      <c r="DZ140" s="99">
        <f>+EA140*EB140</f>
        <v>106.43557679999999</v>
      </c>
      <c r="EA140" s="99">
        <f>0.038572*91.25</f>
        <v>3.519695</v>
      </c>
      <c r="EB140" s="298">
        <v>30.24</v>
      </c>
      <c r="EC140" s="99">
        <f>+ED140*EE140</f>
        <v>103.33627785</v>
      </c>
      <c r="ED140" s="99">
        <f>0.039819*91.25</f>
        <v>3.6334837499999999</v>
      </c>
      <c r="EE140" s="298">
        <v>28.44</v>
      </c>
      <c r="EF140" s="99">
        <f t="shared" si="605"/>
        <v>121.76189232499999</v>
      </c>
      <c r="EG140" s="99">
        <f t="shared" si="605"/>
        <v>5.5512199999999989</v>
      </c>
      <c r="EH140" s="298">
        <f>+EF140/EG140</f>
        <v>21.934258113531804</v>
      </c>
      <c r="EI140" s="282">
        <f>+EJ140*EK140</f>
        <v>431.85139999999996</v>
      </c>
      <c r="EJ140" s="282">
        <v>15.760999999999999</v>
      </c>
      <c r="EK140" s="299">
        <v>27.4</v>
      </c>
      <c r="EL140" s="344">
        <v>93.17</v>
      </c>
      <c r="EM140" s="344">
        <v>4.37</v>
      </c>
      <c r="EN140" s="344">
        <v>9.56</v>
      </c>
      <c r="EO140" s="74">
        <v>5.21</v>
      </c>
      <c r="EP140" s="74">
        <v>4.6100000000000003</v>
      </c>
      <c r="EQ140" s="74">
        <v>3.96</v>
      </c>
      <c r="ER140" s="74">
        <v>3.8</v>
      </c>
      <c r="ES140" s="74">
        <v>11.19</v>
      </c>
      <c r="ET140" s="74">
        <v>10.15</v>
      </c>
      <c r="EU140" s="74">
        <v>9.83</v>
      </c>
      <c r="EV140" s="74">
        <v>7.41</v>
      </c>
      <c r="EW140" s="74">
        <v>98.68</v>
      </c>
      <c r="EX140" s="74">
        <v>103.35</v>
      </c>
      <c r="EY140" s="74">
        <v>97.87</v>
      </c>
      <c r="EZ140" s="74">
        <v>73.209999999999994</v>
      </c>
    </row>
    <row r="141" spans="1:156" ht="27.75" customHeight="1" x14ac:dyDescent="0.3">
      <c r="A141" s="43" t="s">
        <v>58</v>
      </c>
      <c r="B141" s="43" t="s">
        <v>59</v>
      </c>
      <c r="C141" s="53">
        <v>2015</v>
      </c>
      <c r="D141" s="52">
        <v>147.173</v>
      </c>
      <c r="E141" s="52">
        <v>38.451999999999998</v>
      </c>
      <c r="F141" s="52">
        <v>14.086</v>
      </c>
      <c r="G141" s="52">
        <f t="shared" si="524"/>
        <v>77.066833333333335</v>
      </c>
      <c r="H141" s="52">
        <f t="shared" si="525"/>
        <v>462.40100000000001</v>
      </c>
      <c r="I141" s="52">
        <v>0</v>
      </c>
      <c r="J141" s="52">
        <v>0</v>
      </c>
      <c r="K141" s="52">
        <v>0</v>
      </c>
      <c r="L141" s="52">
        <f t="shared" si="526"/>
        <v>0</v>
      </c>
      <c r="M141" s="52">
        <f t="shared" si="527"/>
        <v>0</v>
      </c>
      <c r="N141" s="52">
        <f t="shared" si="309"/>
        <v>77.066833333333335</v>
      </c>
      <c r="O141" s="52">
        <f t="shared" si="309"/>
        <v>462.40100000000001</v>
      </c>
      <c r="P141" s="54">
        <f t="shared" si="528"/>
        <v>1</v>
      </c>
      <c r="Q141" s="54">
        <f>D141/H141</f>
        <v>0.31828002102071579</v>
      </c>
      <c r="R141" s="54">
        <f t="shared" si="385"/>
        <v>0.49894355764801546</v>
      </c>
      <c r="S141" s="54">
        <f t="shared" si="386"/>
        <v>0.18277642133126876</v>
      </c>
      <c r="T141" s="208">
        <v>85.466999999999999</v>
      </c>
      <c r="U141" s="208">
        <v>37.261000000000003</v>
      </c>
      <c r="V141" s="208">
        <v>202.67400000000001</v>
      </c>
      <c r="W141" s="52">
        <f>+T141*6+U141*6+V141</f>
        <v>939.04200000000003</v>
      </c>
      <c r="X141" s="52">
        <f t="shared" si="573"/>
        <v>12.885000000000105</v>
      </c>
      <c r="Y141" s="52">
        <f>+T141+U141+V141/6</f>
        <v>156.50700000000001</v>
      </c>
      <c r="Z141" s="52">
        <f t="shared" si="574"/>
        <v>2.147500000000008</v>
      </c>
      <c r="AA141" s="205">
        <f t="shared" si="597"/>
        <v>1.3912328039414536E-2</v>
      </c>
      <c r="AB141" s="44"/>
      <c r="AC141" s="45">
        <v>-309.947</v>
      </c>
      <c r="AD141" s="45">
        <v>143.99100000000001</v>
      </c>
      <c r="AE141" s="45">
        <v>0.75900000000000001</v>
      </c>
      <c r="AF141" s="45">
        <v>0</v>
      </c>
      <c r="AG141" s="55">
        <f>SUM(AC141:AF141)</f>
        <v>-165.197</v>
      </c>
      <c r="AH141" s="45">
        <v>-82.816000000000003</v>
      </c>
      <c r="AI141" s="45">
        <v>80.725999999999999</v>
      </c>
      <c r="AJ141" s="45">
        <v>0.44400000000000001</v>
      </c>
      <c r="AK141" s="45">
        <v>0</v>
      </c>
      <c r="AL141" s="55">
        <f>SUM(AH141:AK141)</f>
        <v>-1.6460000000000035</v>
      </c>
      <c r="AM141" s="45">
        <v>-54.439</v>
      </c>
      <c r="AN141" s="45">
        <v>25.495999999999999</v>
      </c>
      <c r="AO141" s="45">
        <v>0.13200000000000001</v>
      </c>
      <c r="AP141" s="45">
        <v>0</v>
      </c>
      <c r="AQ141" s="55">
        <f>SUM(AM141:AP141)</f>
        <v>-28.811</v>
      </c>
      <c r="AR141" s="55">
        <f t="shared" si="531"/>
        <v>-347.93900000000002</v>
      </c>
      <c r="AS141" s="55">
        <f t="shared" si="532"/>
        <v>-57.989833333333337</v>
      </c>
      <c r="AT141" s="46">
        <v>27</v>
      </c>
      <c r="AU141" s="46">
        <v>9</v>
      </c>
      <c r="AV141" s="46">
        <f>1245-2</f>
        <v>1243</v>
      </c>
      <c r="AW141" s="46">
        <f>894-100</f>
        <v>794</v>
      </c>
      <c r="AX141" s="50">
        <f t="shared" si="390"/>
        <v>2073</v>
      </c>
      <c r="AY141" s="52">
        <f>SUM(AX139:AX141)</f>
        <v>8483.2989999999991</v>
      </c>
      <c r="AZ141" s="52">
        <f t="shared" si="576"/>
        <v>-53.666833333333358</v>
      </c>
      <c r="BA141" s="52">
        <f t="shared" si="577"/>
        <v>-322.00100000000026</v>
      </c>
      <c r="BB141" s="50">
        <f>AY141/AZ141</f>
        <v>-158.07340349874681</v>
      </c>
      <c r="BC141" s="50">
        <f>AY141/BA141</f>
        <v>-26.345567249791124</v>
      </c>
      <c r="BD141" s="44"/>
      <c r="BE141" s="47">
        <v>717</v>
      </c>
      <c r="BF141" s="48"/>
      <c r="BG141" s="48">
        <v>327</v>
      </c>
      <c r="BH141" s="47">
        <f t="shared" si="598"/>
        <v>327</v>
      </c>
      <c r="BI141" s="48">
        <v>23</v>
      </c>
      <c r="BJ141" s="48">
        <v>0</v>
      </c>
      <c r="BK141" s="47">
        <f t="shared" si="599"/>
        <v>23</v>
      </c>
      <c r="BL141" s="48"/>
      <c r="BM141" s="48">
        <v>145</v>
      </c>
      <c r="BN141" s="47">
        <f t="shared" si="600"/>
        <v>145</v>
      </c>
      <c r="BO141" s="48"/>
      <c r="BP141" s="48">
        <v>191</v>
      </c>
      <c r="BQ141" s="47">
        <f t="shared" si="601"/>
        <v>191</v>
      </c>
      <c r="BR141" s="48">
        <v>2178</v>
      </c>
      <c r="BS141" s="48">
        <v>2178</v>
      </c>
      <c r="BT141" s="202">
        <f t="shared" si="580"/>
        <v>1</v>
      </c>
      <c r="BU141" s="49">
        <f t="shared" si="581"/>
        <v>1403</v>
      </c>
      <c r="BV141" s="50">
        <f t="shared" si="582"/>
        <v>18.204977930411051</v>
      </c>
      <c r="BW141" s="50">
        <f t="shared" si="583"/>
        <v>3.0341629884018415</v>
      </c>
      <c r="BX141" s="44"/>
      <c r="BY141" s="91">
        <f t="shared" si="584"/>
        <v>3476</v>
      </c>
      <c r="BZ141" s="56">
        <f t="shared" si="585"/>
        <v>347.6</v>
      </c>
      <c r="CA141" s="141">
        <f t="shared" si="533"/>
        <v>0.16767969126869273</v>
      </c>
      <c r="CB141" s="56">
        <f t="shared" si="586"/>
        <v>4.5103708685751114</v>
      </c>
      <c r="CC141" s="56">
        <f t="shared" si="587"/>
        <v>0.75172847809585186</v>
      </c>
      <c r="CD141" s="56">
        <f t="shared" si="588"/>
        <v>26.898730755340061</v>
      </c>
      <c r="CE141" s="56">
        <f t="shared" si="588"/>
        <v>4.4831217925566769</v>
      </c>
      <c r="CF141" s="56">
        <f t="shared" si="589"/>
        <v>-139.86842556833577</v>
      </c>
      <c r="CG141" s="56">
        <f>CB141+CF141</f>
        <v>-135.35805469976066</v>
      </c>
      <c r="CH141" s="56">
        <f>CF141+CD141</f>
        <v>-112.9696948129957</v>
      </c>
      <c r="CI141" s="56">
        <f t="shared" si="592"/>
        <v>-23.311404261389281</v>
      </c>
      <c r="CJ141" s="56">
        <f>+CI141+CC141</f>
        <v>-22.559675783293429</v>
      </c>
      <c r="CK141" s="56">
        <f>+CI141+CE141</f>
        <v>-18.828282468832604</v>
      </c>
      <c r="CL141" s="51">
        <v>4</v>
      </c>
      <c r="CM141" s="56">
        <f t="shared" si="602"/>
        <v>-13.986842556833576</v>
      </c>
      <c r="CN141" s="56">
        <f t="shared" si="595"/>
        <v>-1077.9216641870671</v>
      </c>
      <c r="CO141" s="173">
        <f t="shared" si="596"/>
        <v>-0.51998150708493351</v>
      </c>
      <c r="CP141" s="174">
        <v>306</v>
      </c>
      <c r="CQ141" s="328"/>
      <c r="CR141" s="82"/>
      <c r="CS141" s="270">
        <f>+CT141*CU141</f>
        <v>88.554073500000015</v>
      </c>
      <c r="CT141" s="269">
        <f>0.359428*91.25</f>
        <v>32.797805000000004</v>
      </c>
      <c r="CU141" s="133">
        <v>2.7</v>
      </c>
      <c r="CV141" s="269">
        <f>+CW141*CX141</f>
        <v>77.074008637500015</v>
      </c>
      <c r="CW141" s="269">
        <f>0.356391*91.25</f>
        <v>32.520678750000002</v>
      </c>
      <c r="CX141" s="133">
        <v>2.37</v>
      </c>
      <c r="CY141" s="269">
        <f>+CZ141*DA141</f>
        <v>83.100572912499999</v>
      </c>
      <c r="CZ141" s="269">
        <f>0.359957*91.25</f>
        <v>32.846076250000003</v>
      </c>
      <c r="DA141" s="133">
        <v>2.5299999999999998</v>
      </c>
      <c r="DB141" s="269">
        <f t="shared" si="603"/>
        <v>67.212144949999939</v>
      </c>
      <c r="DC141" s="269">
        <f t="shared" si="603"/>
        <v>33.47743999999998</v>
      </c>
      <c r="DD141" s="133">
        <f>+DB141/DC141</f>
        <v>2.0076847258930188</v>
      </c>
      <c r="DE141" s="274">
        <f>+DF141*DG141</f>
        <v>315.94079999999997</v>
      </c>
      <c r="DF141" s="274">
        <v>131.642</v>
      </c>
      <c r="DG141" s="273">
        <v>2.4</v>
      </c>
      <c r="DH141" s="272">
        <f>+DI141*DJ141</f>
        <v>386.88111855000005</v>
      </c>
      <c r="DI141" s="272">
        <f>0.098554*91.25</f>
        <v>8.993052500000001</v>
      </c>
      <c r="DJ141" s="296">
        <v>43.02</v>
      </c>
      <c r="DK141" s="272">
        <f>+DL141*DM141</f>
        <v>473.8962133500001</v>
      </c>
      <c r="DL141" s="272">
        <f>0.100569*91.25</f>
        <v>9.1769212500000013</v>
      </c>
      <c r="DM141" s="296">
        <v>51.64</v>
      </c>
      <c r="DN141" s="272">
        <f>+DO141*DP141</f>
        <v>422.70909697500002</v>
      </c>
      <c r="DO141" s="272">
        <f>0.109101*91.25</f>
        <v>9.9554662500000006</v>
      </c>
      <c r="DP141" s="296">
        <v>42.46</v>
      </c>
      <c r="DQ141" s="272">
        <f t="shared" si="604"/>
        <v>391.09817112499974</v>
      </c>
      <c r="DR141" s="272">
        <f t="shared" si="604"/>
        <v>10.326559999999997</v>
      </c>
      <c r="DS141" s="296">
        <f>+DQ141/DR141</f>
        <v>37.873035272636756</v>
      </c>
      <c r="DT141" s="277">
        <f>+DU141*DV141</f>
        <v>1674.5845999999999</v>
      </c>
      <c r="DU141" s="277">
        <v>38.451999999999998</v>
      </c>
      <c r="DV141" s="297">
        <v>43.55</v>
      </c>
      <c r="DW141" s="99">
        <f>+DX141*DY141</f>
        <v>48.404474999999998</v>
      </c>
      <c r="DX141" s="99">
        <f>0.035364*91.25</f>
        <v>3.2269649999999999</v>
      </c>
      <c r="DY141" s="298">
        <v>15</v>
      </c>
      <c r="DZ141" s="99">
        <f>+EA141*EB141</f>
        <v>46.932226512499994</v>
      </c>
      <c r="EA141" s="99">
        <f>0.036659*91.25</f>
        <v>3.3451337499999996</v>
      </c>
      <c r="EB141" s="298">
        <v>14.03</v>
      </c>
      <c r="EC141" s="99">
        <f>+ED141*EE141</f>
        <v>47.051659987500003</v>
      </c>
      <c r="ED141" s="99">
        <f>0.041617*91.25</f>
        <v>3.7975512500000002</v>
      </c>
      <c r="EE141" s="298">
        <v>12.39</v>
      </c>
      <c r="EF141" s="99">
        <f t="shared" si="605"/>
        <v>45.096298500000039</v>
      </c>
      <c r="EG141" s="99">
        <f t="shared" si="605"/>
        <v>3.7163500000000012</v>
      </c>
      <c r="EH141" s="298">
        <f>+EF141/EG141</f>
        <v>12.134567115583845</v>
      </c>
      <c r="EI141" s="300">
        <f>+EJ141*EK141</f>
        <v>187.48466000000002</v>
      </c>
      <c r="EJ141" s="300">
        <v>14.086</v>
      </c>
      <c r="EK141" s="301">
        <v>13.31</v>
      </c>
      <c r="EL141" s="344">
        <v>48.66</v>
      </c>
      <c r="EM141" s="344">
        <v>2.62</v>
      </c>
      <c r="EN141" s="344">
        <v>4.97</v>
      </c>
      <c r="EO141" s="331">
        <v>2.9</v>
      </c>
      <c r="EP141" s="331">
        <v>2.75</v>
      </c>
      <c r="EQ141" s="331">
        <v>2.76</v>
      </c>
      <c r="ER141" s="331">
        <v>2.12</v>
      </c>
      <c r="ES141" s="331">
        <v>5.43</v>
      </c>
      <c r="ET141" s="331">
        <v>5.2</v>
      </c>
      <c r="EU141" s="331">
        <v>4.68</v>
      </c>
      <c r="EV141" s="331">
        <v>4.5999999999999996</v>
      </c>
      <c r="EW141" s="331">
        <v>48.49</v>
      </c>
      <c r="EX141" s="331">
        <v>57.85</v>
      </c>
      <c r="EY141" s="331">
        <v>46.64</v>
      </c>
      <c r="EZ141" s="331">
        <v>41.94</v>
      </c>
    </row>
    <row r="142" spans="1:156" ht="27.75" customHeight="1" x14ac:dyDescent="0.3">
      <c r="A142" s="228" t="s">
        <v>58</v>
      </c>
      <c r="B142" s="228" t="s">
        <v>59</v>
      </c>
      <c r="C142" s="229">
        <v>2016</v>
      </c>
      <c r="D142" s="216">
        <v>139.51</v>
      </c>
      <c r="E142" s="216">
        <v>48.926000000000002</v>
      </c>
      <c r="F142" s="216">
        <v>15.922000000000001</v>
      </c>
      <c r="G142" s="216">
        <f t="shared" si="524"/>
        <v>88.099666666666664</v>
      </c>
      <c r="H142" s="216">
        <f t="shared" si="525"/>
        <v>528.59800000000007</v>
      </c>
      <c r="I142" s="216">
        <v>0</v>
      </c>
      <c r="J142" s="216">
        <v>0</v>
      </c>
      <c r="K142" s="216">
        <v>0</v>
      </c>
      <c r="L142" s="216">
        <f t="shared" si="526"/>
        <v>0</v>
      </c>
      <c r="M142" s="216">
        <f t="shared" si="527"/>
        <v>0</v>
      </c>
      <c r="N142" s="216">
        <f t="shared" si="309"/>
        <v>88.099666666666664</v>
      </c>
      <c r="O142" s="216">
        <f t="shared" si="309"/>
        <v>528.59800000000007</v>
      </c>
      <c r="P142" s="302">
        <f t="shared" si="528"/>
        <v>1</v>
      </c>
      <c r="Q142" s="302">
        <f>D142/H142</f>
        <v>0.26392457027835892</v>
      </c>
      <c r="R142" s="302">
        <f t="shared" si="385"/>
        <v>0.55534829870714608</v>
      </c>
      <c r="S142" s="302">
        <f t="shared" si="386"/>
        <v>0.18072713101449495</v>
      </c>
      <c r="T142" s="209">
        <v>34.680999999999997</v>
      </c>
      <c r="U142" s="209">
        <v>10.013</v>
      </c>
      <c r="V142" s="209">
        <v>48.868000000000002</v>
      </c>
      <c r="W142" s="216">
        <f>+T142*6+U142*6+V142</f>
        <v>317.03199999999998</v>
      </c>
      <c r="X142" s="216">
        <f>W142-W141</f>
        <v>-622.01</v>
      </c>
      <c r="Y142" s="216">
        <f>+T142+U142+V142/6</f>
        <v>52.838666666666661</v>
      </c>
      <c r="Z142" s="216">
        <f>Y142-Y141</f>
        <v>-103.66833333333335</v>
      </c>
      <c r="AA142" s="206">
        <f>+Z142/Y141</f>
        <v>-0.66238783781769084</v>
      </c>
      <c r="AB142" s="230"/>
      <c r="AC142" s="231">
        <v>-76.998000000000005</v>
      </c>
      <c r="AD142" s="231">
        <v>120.76600000000001</v>
      </c>
      <c r="AE142" s="231">
        <v>5.3609999999999998</v>
      </c>
      <c r="AF142" s="231">
        <v>0</v>
      </c>
      <c r="AG142" s="303">
        <f>SUM(AC142:AF142)</f>
        <v>49.128999999999998</v>
      </c>
      <c r="AH142" s="231">
        <v>-3.9119999999999999</v>
      </c>
      <c r="AI142" s="231">
        <v>117.40600000000001</v>
      </c>
      <c r="AJ142" s="231">
        <v>2.5659999999999998</v>
      </c>
      <c r="AK142" s="231">
        <v>0</v>
      </c>
      <c r="AL142" s="303">
        <f>SUM(AH142:AK142)</f>
        <v>116.06</v>
      </c>
      <c r="AM142" s="231">
        <v>1.2789999999999999</v>
      </c>
      <c r="AN142" s="231">
        <v>24.734999999999999</v>
      </c>
      <c r="AO142" s="231">
        <v>0.74299999999999999</v>
      </c>
      <c r="AP142" s="231">
        <v>0</v>
      </c>
      <c r="AQ142" s="303">
        <f>SUM(AM142:AP142)</f>
        <v>26.756999999999998</v>
      </c>
      <c r="AR142" s="303">
        <f t="shared" si="531"/>
        <v>906.03099999999995</v>
      </c>
      <c r="AS142" s="303">
        <f t="shared" si="532"/>
        <v>151.00516666666667</v>
      </c>
      <c r="AT142" s="232">
        <f>368-2</f>
        <v>366</v>
      </c>
      <c r="AU142" s="232">
        <v>78</v>
      </c>
      <c r="AV142" s="232">
        <f>1454-2</f>
        <v>1452</v>
      </c>
      <c r="AW142" s="232">
        <f>509-17</f>
        <v>492</v>
      </c>
      <c r="AX142" s="215">
        <f>SUM(AT142:AW142)</f>
        <v>2388</v>
      </c>
      <c r="AY142" s="216">
        <f>SUM(AX140:AX142)</f>
        <v>8036</v>
      </c>
      <c r="AZ142" s="216">
        <f>SUM(AS140:AS142)</f>
        <v>245.25716666666665</v>
      </c>
      <c r="BA142" s="216">
        <f>SUM(AR140:AR142)</f>
        <v>1471.5429999999999</v>
      </c>
      <c r="BB142" s="215">
        <f>AY142/AZ142</f>
        <v>32.765607257144374</v>
      </c>
      <c r="BC142" s="215">
        <f>AY142/BA142</f>
        <v>5.4609345428573954</v>
      </c>
      <c r="BD142" s="230"/>
      <c r="BE142" s="212">
        <v>581</v>
      </c>
      <c r="BF142" s="200"/>
      <c r="BG142" s="200">
        <v>325</v>
      </c>
      <c r="BH142" s="212">
        <f>IF(BG142=0,BF142*$BT142,BG142)</f>
        <v>325</v>
      </c>
      <c r="BI142" s="200">
        <v>24</v>
      </c>
      <c r="BJ142" s="200"/>
      <c r="BK142" s="212">
        <f>IF(BJ142=0,BI142*$BT142,BJ142)</f>
        <v>24</v>
      </c>
      <c r="BL142" s="200"/>
      <c r="BM142" s="200">
        <v>136</v>
      </c>
      <c r="BN142" s="212">
        <f>IF(BM142=0,BL142*$BT142,BM142)</f>
        <v>136</v>
      </c>
      <c r="BO142" s="200"/>
      <c r="BP142" s="200">
        <v>211</v>
      </c>
      <c r="BQ142" s="212">
        <f>IF(BP142=0,BO142*$BT142,BP142)</f>
        <v>211</v>
      </c>
      <c r="BR142" s="200">
        <v>2418</v>
      </c>
      <c r="BS142" s="200">
        <v>2418</v>
      </c>
      <c r="BT142" s="203">
        <f>+P142*BR142/BS142</f>
        <v>1</v>
      </c>
      <c r="BU142" s="220">
        <f>BQ142+BN142+BK142+BH142+BE142</f>
        <v>1277</v>
      </c>
      <c r="BV142" s="215">
        <f>BU142/G142</f>
        <v>14.494947010771892</v>
      </c>
      <c r="BW142" s="215">
        <f>BU142/H142</f>
        <v>2.4158245017953148</v>
      </c>
      <c r="BX142" s="230"/>
      <c r="BY142" s="304">
        <f>BU142+AX142</f>
        <v>3665</v>
      </c>
      <c r="BZ142" s="305">
        <f>(BY142*0.1)</f>
        <v>366.5</v>
      </c>
      <c r="CA142" s="306">
        <f>+BZ142/AX142</f>
        <v>0.15347571189279732</v>
      </c>
      <c r="CB142" s="305">
        <f>BZ142/G142</f>
        <v>4.1600611428722774</v>
      </c>
      <c r="CC142" s="305">
        <f>BZ142/H142</f>
        <v>0.69334352381204611</v>
      </c>
      <c r="CD142" s="305">
        <f>+$AX142/G142</f>
        <v>27.105664417950884</v>
      </c>
      <c r="CE142" s="305">
        <f>+$AX142/H142</f>
        <v>4.5176107363251461</v>
      </c>
      <c r="CF142" s="305">
        <f>BB142+BV142</f>
        <v>47.260554267916262</v>
      </c>
      <c r="CG142" s="305">
        <f>CB142+CF142</f>
        <v>51.420615410788542</v>
      </c>
      <c r="CH142" s="305">
        <f>CF142+CD142</f>
        <v>74.366218685867153</v>
      </c>
      <c r="CI142" s="305">
        <f>+BC142+BW142</f>
        <v>7.8767590446527098</v>
      </c>
      <c r="CJ142" s="305">
        <f>+CI142+CC142</f>
        <v>8.5701025684647565</v>
      </c>
      <c r="CK142" s="305">
        <f>+CI142+CE142</f>
        <v>12.394369780977856</v>
      </c>
      <c r="CL142" s="307">
        <v>4</v>
      </c>
      <c r="CM142" s="305">
        <f>+CF142/10</f>
        <v>4.7260554267916266</v>
      </c>
      <c r="CN142" s="305">
        <f>+CM142*G142</f>
        <v>416.36390774853334</v>
      </c>
      <c r="CO142" s="308">
        <f>+CN142/AX142</f>
        <v>0.17435674528833053</v>
      </c>
      <c r="CP142" s="309">
        <v>323</v>
      </c>
      <c r="CQ142" s="329"/>
      <c r="CR142" s="266"/>
      <c r="CS142" s="313">
        <f>+CT142*CU142</f>
        <v>58.581157712500001</v>
      </c>
      <c r="CT142" s="313">
        <f>0.358651*91.25</f>
        <v>32.726903749999998</v>
      </c>
      <c r="CU142" s="314">
        <v>1.79</v>
      </c>
      <c r="CV142" s="313">
        <f>+CW142*CX142</f>
        <v>51.894344025000002</v>
      </c>
      <c r="CW142" s="313">
        <f>0.340542*91.25</f>
        <v>31.074457500000001</v>
      </c>
      <c r="CX142" s="314">
        <v>1.67</v>
      </c>
      <c r="CY142" s="313">
        <f>+CZ142*DA142</f>
        <v>73.708871062500009</v>
      </c>
      <c r="CZ142" s="313">
        <f>0.332415*91.25</f>
        <v>30.332868750000003</v>
      </c>
      <c r="DA142" s="314">
        <v>2.4300000000000002</v>
      </c>
      <c r="DB142" s="313">
        <f t="shared" si="603"/>
        <v>78.358707199999969</v>
      </c>
      <c r="DC142" s="313">
        <f t="shared" si="603"/>
        <v>30.293770000000002</v>
      </c>
      <c r="DD142" s="314">
        <f>+DB142/DC142</f>
        <v>2.5866277851848736</v>
      </c>
      <c r="DE142" s="315">
        <f>+DF142*DG142</f>
        <v>262.54307999999997</v>
      </c>
      <c r="DF142" s="315">
        <v>124.428</v>
      </c>
      <c r="DG142" s="316">
        <v>2.11</v>
      </c>
      <c r="DH142" s="317">
        <f>+DI142*DJ142</f>
        <v>314.76762142500002</v>
      </c>
      <c r="DI142" s="317">
        <f>0.122802*91.25</f>
        <v>11.2056825</v>
      </c>
      <c r="DJ142" s="318">
        <v>28.09</v>
      </c>
      <c r="DK142" s="317">
        <f>+DL142*DM142</f>
        <v>509.32995892500003</v>
      </c>
      <c r="DL142" s="317">
        <f>0.134726*91.25</f>
        <v>12.2937475</v>
      </c>
      <c r="DM142" s="318">
        <v>41.43</v>
      </c>
      <c r="DN142" s="317">
        <f>+DO142*DP142</f>
        <v>507.61513599999995</v>
      </c>
      <c r="DO142" s="317">
        <f>0.13424*91.25</f>
        <v>12.2494</v>
      </c>
      <c r="DP142" s="318">
        <v>41.44</v>
      </c>
      <c r="DQ142" s="317">
        <f>+DT142-DH142-DK142-DN142</f>
        <v>608.20318365000003</v>
      </c>
      <c r="DR142" s="317">
        <f>+DU142-DI142-DL142-DO142</f>
        <v>13.177169999999998</v>
      </c>
      <c r="DS142" s="318">
        <f>+DQ142/DR142</f>
        <v>46.155827362779725</v>
      </c>
      <c r="DT142" s="319">
        <f>+DU142*DV142</f>
        <v>1939.9159</v>
      </c>
      <c r="DU142" s="319">
        <v>48.926000000000002</v>
      </c>
      <c r="DV142" s="320">
        <v>39.65</v>
      </c>
      <c r="DW142" s="187">
        <f>+DX142*DY142</f>
        <v>36.980573600000007</v>
      </c>
      <c r="DX142" s="187">
        <f>0.039232*91.25</f>
        <v>3.5799200000000004</v>
      </c>
      <c r="DY142" s="321">
        <v>10.33</v>
      </c>
      <c r="DZ142" s="187">
        <f>+EA142*EB142</f>
        <v>53.452318237500002</v>
      </c>
      <c r="EA142" s="187">
        <f>0.041223*91.25</f>
        <v>3.7615987500000001</v>
      </c>
      <c r="EB142" s="321">
        <v>14.21</v>
      </c>
      <c r="EC142" s="187">
        <f>+ED142*EE142</f>
        <v>55.978964125000005</v>
      </c>
      <c r="ED142" s="187">
        <f>0.049235*91.25</f>
        <v>4.4926937499999999</v>
      </c>
      <c r="EE142" s="321">
        <v>12.46</v>
      </c>
      <c r="EF142" s="187">
        <f t="shared" si="605"/>
        <v>68.375924037499971</v>
      </c>
      <c r="EG142" s="187">
        <f t="shared" si="605"/>
        <v>4.0877874999999992</v>
      </c>
      <c r="EH142" s="321">
        <f>+EF142/EG142</f>
        <v>16.726878302137766</v>
      </c>
      <c r="EI142" s="310">
        <f>+EJ142*EK142</f>
        <v>214.78778</v>
      </c>
      <c r="EJ142" s="310">
        <v>15.922000000000001</v>
      </c>
      <c r="EK142" s="311">
        <v>13.49</v>
      </c>
      <c r="EL142" s="345">
        <v>43.2</v>
      </c>
      <c r="EM142" s="345">
        <v>2.52</v>
      </c>
      <c r="EN142" s="345">
        <v>5.04</v>
      </c>
      <c r="EO142" s="332">
        <v>1.99</v>
      </c>
      <c r="EP142" s="332">
        <v>2.15</v>
      </c>
      <c r="EQ142" s="332">
        <v>2.88</v>
      </c>
      <c r="ER142" s="332">
        <v>3.04</v>
      </c>
      <c r="ES142" s="332">
        <v>4.0199999999999996</v>
      </c>
      <c r="ET142" s="332">
        <v>5</v>
      </c>
      <c r="EU142" s="332">
        <v>5.04</v>
      </c>
      <c r="EV142" s="332">
        <v>6.05</v>
      </c>
      <c r="EW142" s="332">
        <v>33.35</v>
      </c>
      <c r="EX142" s="332">
        <v>45.46</v>
      </c>
      <c r="EY142" s="332">
        <v>44.85</v>
      </c>
      <c r="EZ142" s="332">
        <v>49.14</v>
      </c>
    </row>
    <row r="143" spans="1:156" ht="27.75" customHeight="1" x14ac:dyDescent="0.3">
      <c r="A143" s="24" t="s">
        <v>62</v>
      </c>
      <c r="B143" s="24" t="s">
        <v>63</v>
      </c>
      <c r="C143" s="1">
        <v>2007</v>
      </c>
      <c r="D143" s="25">
        <v>90.62</v>
      </c>
      <c r="E143" s="25">
        <v>4.5049999999999999</v>
      </c>
      <c r="F143" s="25">
        <v>0</v>
      </c>
      <c r="G143" s="25">
        <f t="shared" si="524"/>
        <v>19.608333333333334</v>
      </c>
      <c r="H143" s="25">
        <f t="shared" si="525"/>
        <v>117.65</v>
      </c>
      <c r="I143" s="25">
        <v>0</v>
      </c>
      <c r="J143" s="25">
        <v>0</v>
      </c>
      <c r="K143" s="25">
        <v>0</v>
      </c>
      <c r="L143" s="25">
        <f t="shared" si="526"/>
        <v>0</v>
      </c>
      <c r="M143" s="25">
        <f t="shared" si="527"/>
        <v>0</v>
      </c>
      <c r="N143" s="25">
        <f t="shared" si="309"/>
        <v>19.608333333333334</v>
      </c>
      <c r="O143" s="25">
        <f t="shared" si="309"/>
        <v>117.65</v>
      </c>
      <c r="P143" s="26">
        <f t="shared" si="528"/>
        <v>1</v>
      </c>
      <c r="Q143" s="26">
        <f t="shared" si="572"/>
        <v>0.77025074373140667</v>
      </c>
      <c r="R143" s="26">
        <f t="shared" si="385"/>
        <v>0.22974925626859327</v>
      </c>
      <c r="S143" s="26">
        <f t="shared" si="386"/>
        <v>0</v>
      </c>
      <c r="T143" s="207">
        <v>19.645</v>
      </c>
      <c r="U143" s="207">
        <v>0</v>
      </c>
      <c r="V143" s="207">
        <v>688.08799999999997</v>
      </c>
      <c r="W143" s="25">
        <f t="shared" ref="W143:W150" si="606">+T143*6+U143*6+V143</f>
        <v>805.95799999999997</v>
      </c>
      <c r="X143" s="25"/>
      <c r="Y143" s="25">
        <f t="shared" ref="Y143:Y150" si="607">+T143+U143+V143/6</f>
        <v>134.32633333333334</v>
      </c>
      <c r="Z143" s="25"/>
      <c r="AA143" s="25"/>
      <c r="AB143" s="27"/>
      <c r="AC143" s="28">
        <v>-0.38600000000000001</v>
      </c>
      <c r="AD143" s="28">
        <v>401.80500000000001</v>
      </c>
      <c r="AE143" s="28">
        <v>121.38200000000001</v>
      </c>
      <c r="AF143" s="28">
        <v>0</v>
      </c>
      <c r="AG143" s="29">
        <f>SUM(AC143:AF143)</f>
        <v>522.80099999999993</v>
      </c>
      <c r="AH143" s="28">
        <v>2.4319999999999999</v>
      </c>
      <c r="AI143" s="28">
        <v>13.741</v>
      </c>
      <c r="AJ143" s="28">
        <v>1.9339999999999999</v>
      </c>
      <c r="AK143" s="28">
        <v>0</v>
      </c>
      <c r="AL143" s="29">
        <f>SUM(AH143:AK143)</f>
        <v>18.106999999999999</v>
      </c>
      <c r="AM143" s="28">
        <v>0</v>
      </c>
      <c r="AN143" s="28">
        <v>0</v>
      </c>
      <c r="AO143" s="28">
        <v>0</v>
      </c>
      <c r="AP143" s="28">
        <v>0</v>
      </c>
      <c r="AQ143" s="29">
        <f>SUM(AM143:AP143)</f>
        <v>0</v>
      </c>
      <c r="AR143" s="29">
        <f t="shared" si="531"/>
        <v>631.44299999999998</v>
      </c>
      <c r="AS143" s="29">
        <f t="shared" si="532"/>
        <v>105.24049999999998</v>
      </c>
      <c r="AT143" s="30">
        <f>4.552+78.095</f>
        <v>82.646999999999991</v>
      </c>
      <c r="AU143" s="30">
        <v>253.06399999999999</v>
      </c>
      <c r="AV143" s="30">
        <f>40.567+42.309</f>
        <v>82.876000000000005</v>
      </c>
      <c r="AW143" s="30">
        <f>732.55+18.655</f>
        <v>751.20499999999993</v>
      </c>
      <c r="AX143" s="31">
        <f t="shared" si="390"/>
        <v>1169.7919999999999</v>
      </c>
      <c r="AY143" s="25"/>
      <c r="AZ143" s="25"/>
      <c r="BA143" s="25"/>
      <c r="BB143" s="31"/>
      <c r="BC143" s="31"/>
      <c r="BD143" s="27" t="s">
        <v>64</v>
      </c>
      <c r="BE143" s="32"/>
      <c r="BF143" s="33"/>
      <c r="BG143" s="34"/>
      <c r="BH143" s="32"/>
      <c r="BI143" s="33"/>
      <c r="BJ143" s="34"/>
      <c r="BK143" s="32"/>
      <c r="BL143" s="33"/>
      <c r="BM143" s="34"/>
      <c r="BN143" s="32"/>
      <c r="BO143" s="33"/>
      <c r="BP143" s="34"/>
      <c r="BQ143" s="32"/>
      <c r="BR143" s="34">
        <v>0</v>
      </c>
      <c r="BS143" s="34">
        <v>0</v>
      </c>
      <c r="BT143" s="34"/>
      <c r="BU143" s="35"/>
      <c r="BV143" s="31"/>
      <c r="BW143" s="31"/>
      <c r="BX143" s="27"/>
      <c r="BY143" s="88"/>
      <c r="BZ143" s="36"/>
      <c r="CA143" s="36">
        <f t="shared" si="533"/>
        <v>0</v>
      </c>
      <c r="CB143" s="36"/>
      <c r="CC143" s="36"/>
      <c r="CD143" s="36"/>
      <c r="CE143" s="36"/>
      <c r="CF143" s="36"/>
      <c r="CG143" s="36"/>
      <c r="CH143" s="36"/>
      <c r="CI143" s="36"/>
      <c r="CJ143" s="36"/>
      <c r="CK143" s="36"/>
      <c r="CL143" s="37">
        <v>4</v>
      </c>
      <c r="CM143" s="37"/>
      <c r="CN143" s="37"/>
      <c r="CO143" s="37"/>
      <c r="CP143" s="327"/>
      <c r="CQ143" s="327"/>
      <c r="CS143" s="293"/>
      <c r="CT143" s="227"/>
      <c r="CU143" s="227"/>
      <c r="CV143" s="227"/>
      <c r="CW143" s="227"/>
      <c r="CX143" s="227"/>
      <c r="CY143" s="227"/>
      <c r="CZ143" s="227"/>
      <c r="DA143" s="227"/>
      <c r="DB143" s="227"/>
      <c r="DC143" s="227"/>
      <c r="DD143" s="227"/>
      <c r="DE143" s="275"/>
      <c r="DF143" s="275"/>
      <c r="DG143" s="275"/>
      <c r="DH143" s="226"/>
      <c r="DI143" s="226"/>
      <c r="DJ143" s="226"/>
      <c r="DK143" s="226"/>
      <c r="DL143" s="226"/>
      <c r="DM143" s="226"/>
      <c r="DN143" s="226"/>
      <c r="DO143" s="226"/>
      <c r="DP143" s="226"/>
      <c r="DQ143" s="226"/>
      <c r="DR143" s="226"/>
      <c r="DS143" s="226"/>
      <c r="DT143" s="278"/>
      <c r="DU143" s="278"/>
      <c r="DV143" s="278"/>
      <c r="DW143" s="280"/>
      <c r="DX143" s="280"/>
      <c r="DY143" s="280"/>
      <c r="DZ143" s="280"/>
      <c r="EA143" s="280"/>
      <c r="EB143" s="280"/>
      <c r="EC143" s="280"/>
      <c r="ED143" s="280"/>
      <c r="EE143" s="280"/>
      <c r="EF143" s="280"/>
      <c r="EG143" s="280"/>
      <c r="EH143" s="280"/>
      <c r="EI143" s="283"/>
      <c r="EJ143" s="283"/>
      <c r="EK143" s="294"/>
      <c r="EL143" s="343">
        <v>72.34</v>
      </c>
      <c r="EM143" s="343">
        <v>6.97</v>
      </c>
      <c r="EN143" s="343">
        <v>12.91</v>
      </c>
      <c r="EO143" s="116"/>
      <c r="EP143" s="116"/>
      <c r="EQ143" s="116"/>
      <c r="ER143" s="116"/>
      <c r="ES143" s="116"/>
      <c r="ET143" s="116"/>
      <c r="EU143" s="116"/>
      <c r="EV143" s="116"/>
      <c r="EW143" s="116"/>
      <c r="EX143" s="116"/>
      <c r="EY143" s="116"/>
      <c r="EZ143" s="116"/>
    </row>
    <row r="144" spans="1:156" ht="27.75" customHeight="1" x14ac:dyDescent="0.3">
      <c r="A144" s="24" t="s">
        <v>62</v>
      </c>
      <c r="B144" s="24" t="s">
        <v>63</v>
      </c>
      <c r="C144" s="1">
        <v>2008</v>
      </c>
      <c r="D144" s="25">
        <v>114.32299999999999</v>
      </c>
      <c r="E144" s="25">
        <v>3.085</v>
      </c>
      <c r="F144" s="25">
        <v>1.3859999999999999</v>
      </c>
      <c r="G144" s="25">
        <f t="shared" si="524"/>
        <v>23.524833333333333</v>
      </c>
      <c r="H144" s="25">
        <f t="shared" si="525"/>
        <v>141.149</v>
      </c>
      <c r="I144" s="25">
        <v>0</v>
      </c>
      <c r="J144" s="25">
        <v>0</v>
      </c>
      <c r="K144" s="25">
        <v>0</v>
      </c>
      <c r="L144" s="25">
        <f t="shared" si="526"/>
        <v>0</v>
      </c>
      <c r="M144" s="25">
        <f t="shared" si="527"/>
        <v>0</v>
      </c>
      <c r="N144" s="25">
        <f t="shared" si="309"/>
        <v>23.524833333333333</v>
      </c>
      <c r="O144" s="25">
        <f t="shared" si="309"/>
        <v>141.149</v>
      </c>
      <c r="P144" s="26">
        <f t="shared" si="528"/>
        <v>1</v>
      </c>
      <c r="Q144" s="26">
        <f t="shared" si="572"/>
        <v>0.80994551856548747</v>
      </c>
      <c r="R144" s="26">
        <f t="shared" si="385"/>
        <v>0.13113801727252761</v>
      </c>
      <c r="S144" s="26">
        <f t="shared" si="386"/>
        <v>5.8916464161984851E-2</v>
      </c>
      <c r="T144" s="207">
        <v>24.327000000000002</v>
      </c>
      <c r="U144" s="207">
        <v>0</v>
      </c>
      <c r="V144" s="207">
        <v>875.56700000000001</v>
      </c>
      <c r="W144" s="25">
        <f t="shared" si="606"/>
        <v>1021.529</v>
      </c>
      <c r="X144" s="25">
        <f t="shared" ref="X144:X151" si="608">W144-W143</f>
        <v>215.57100000000003</v>
      </c>
      <c r="Y144" s="25">
        <f t="shared" si="607"/>
        <v>170.25483333333332</v>
      </c>
      <c r="Z144" s="25">
        <f t="shared" ref="Z144:Z151" si="609">Y144-Y143</f>
        <v>35.928499999999985</v>
      </c>
      <c r="AA144" s="204">
        <f>+Z144/Y143</f>
        <v>0.26747175411125629</v>
      </c>
      <c r="AB144" s="27"/>
      <c r="AC144" s="28">
        <v>-23.396999999999998</v>
      </c>
      <c r="AD144" s="28">
        <v>423.35399999999998</v>
      </c>
      <c r="AE144" s="28">
        <v>95.262</v>
      </c>
      <c r="AF144" s="28">
        <v>0</v>
      </c>
      <c r="AG144" s="29">
        <f t="shared" si="17"/>
        <v>495.21899999999999</v>
      </c>
      <c r="AH144" s="28">
        <v>-4.9459999999999997</v>
      </c>
      <c r="AI144" s="28">
        <v>10.198</v>
      </c>
      <c r="AJ144" s="28">
        <v>0</v>
      </c>
      <c r="AK144" s="28">
        <v>0</v>
      </c>
      <c r="AL144" s="29">
        <f t="shared" si="536"/>
        <v>5.2520000000000007</v>
      </c>
      <c r="AM144" s="28">
        <v>1.7909999999999999</v>
      </c>
      <c r="AN144" s="28">
        <v>5.6429999999999998</v>
      </c>
      <c r="AO144" s="28">
        <v>5.2999999999999999E-2</v>
      </c>
      <c r="AP144" s="28">
        <v>0</v>
      </c>
      <c r="AQ144" s="29">
        <f t="shared" ref="AQ144:AQ149" si="610">SUM(AM144:AP144)</f>
        <v>7.4869999999999992</v>
      </c>
      <c r="AR144" s="29">
        <f t="shared" si="531"/>
        <v>571.65300000000002</v>
      </c>
      <c r="AS144" s="29">
        <f t="shared" si="532"/>
        <v>95.275499999999994</v>
      </c>
      <c r="AT144" s="30">
        <f>99.446+494.341</f>
        <v>593.78700000000003</v>
      </c>
      <c r="AU144" s="30">
        <v>251.471</v>
      </c>
      <c r="AV144" s="30">
        <f>133.116+63.56</f>
        <v>196.67600000000002</v>
      </c>
      <c r="AW144" s="30">
        <f>729.268+47.056</f>
        <v>776.32400000000007</v>
      </c>
      <c r="AX144" s="31">
        <f t="shared" si="390"/>
        <v>1818.258</v>
      </c>
      <c r="AY144" s="25"/>
      <c r="AZ144" s="25"/>
      <c r="BA144" s="25"/>
      <c r="BC144" s="31"/>
      <c r="BD144" s="27" t="s">
        <v>64</v>
      </c>
      <c r="BE144" s="32"/>
      <c r="BF144" s="33"/>
      <c r="BG144" s="34"/>
      <c r="BH144" s="32"/>
      <c r="BI144" s="33"/>
      <c r="BJ144" s="34"/>
      <c r="BK144" s="32"/>
      <c r="BL144" s="33"/>
      <c r="BM144" s="34"/>
      <c r="BN144" s="32"/>
      <c r="BO144" s="33"/>
      <c r="BP144" s="34"/>
      <c r="BQ144" s="32"/>
      <c r="BR144" s="57">
        <v>0</v>
      </c>
      <c r="BS144" s="57">
        <v>0</v>
      </c>
      <c r="BT144" s="57"/>
      <c r="BU144" s="35"/>
      <c r="BV144" s="31"/>
      <c r="BW144" s="31"/>
      <c r="BX144" s="27"/>
      <c r="BY144" s="88"/>
      <c r="BZ144" s="38"/>
      <c r="CA144" s="36">
        <f t="shared" si="533"/>
        <v>0</v>
      </c>
      <c r="CB144" s="38"/>
      <c r="CC144" s="36"/>
      <c r="CD144" s="36"/>
      <c r="CE144" s="36"/>
      <c r="CF144" s="89"/>
      <c r="CG144" s="36"/>
      <c r="CH144" s="36"/>
      <c r="CI144" s="36"/>
      <c r="CJ144" s="36"/>
      <c r="CK144" s="36"/>
      <c r="CL144" s="37">
        <v>4</v>
      </c>
      <c r="CM144" s="37"/>
      <c r="CN144" s="38"/>
      <c r="CO144" s="38"/>
      <c r="CP144" s="327"/>
      <c r="CQ144" s="327"/>
      <c r="CS144" s="271"/>
      <c r="CT144" s="133"/>
      <c r="CU144" s="133"/>
      <c r="CV144" s="133"/>
      <c r="CW144" s="133"/>
      <c r="CX144" s="133"/>
      <c r="CY144" s="133"/>
      <c r="CZ144" s="133"/>
      <c r="DA144" s="133"/>
      <c r="DB144" s="133"/>
      <c r="DC144" s="133"/>
      <c r="DD144" s="133"/>
      <c r="DE144" s="273"/>
      <c r="DF144" s="273"/>
      <c r="DG144" s="273"/>
      <c r="DH144" s="132"/>
      <c r="DI144" s="132"/>
      <c r="DJ144" s="132"/>
      <c r="DK144" s="132"/>
      <c r="DL144" s="132"/>
      <c r="DM144" s="132"/>
      <c r="DN144" s="132"/>
      <c r="DO144" s="132"/>
      <c r="DP144" s="132"/>
      <c r="DQ144" s="132"/>
      <c r="DR144" s="132"/>
      <c r="DS144" s="132"/>
      <c r="DT144" s="276"/>
      <c r="DU144" s="276"/>
      <c r="DV144" s="276"/>
      <c r="DW144" s="279"/>
      <c r="DX144" s="279"/>
      <c r="DY144" s="279"/>
      <c r="DZ144" s="279"/>
      <c r="EA144" s="279"/>
      <c r="EB144" s="279"/>
      <c r="EC144" s="279"/>
      <c r="ED144" s="279"/>
      <c r="EE144" s="279"/>
      <c r="EF144" s="279"/>
      <c r="EG144" s="279"/>
      <c r="EH144" s="279"/>
      <c r="EI144" s="281"/>
      <c r="EJ144" s="281"/>
      <c r="EK144" s="295"/>
      <c r="EL144" s="343">
        <v>99.67</v>
      </c>
      <c r="EM144" s="343">
        <v>8.86</v>
      </c>
      <c r="EN144" s="343">
        <v>15.2</v>
      </c>
      <c r="EO144" s="116"/>
      <c r="EP144" s="116"/>
      <c r="EQ144" s="116"/>
      <c r="ER144" s="116"/>
      <c r="ES144" s="116"/>
      <c r="ET144" s="116"/>
      <c r="EU144" s="116"/>
      <c r="EV144" s="116"/>
      <c r="EW144" s="116"/>
      <c r="EX144" s="116"/>
      <c r="EY144" s="116"/>
      <c r="EZ144" s="116"/>
    </row>
    <row r="145" spans="1:156" ht="27.75" customHeight="1" x14ac:dyDescent="0.3">
      <c r="A145" s="24" t="s">
        <v>62</v>
      </c>
      <c r="B145" s="24" t="s">
        <v>63</v>
      </c>
      <c r="C145" s="1">
        <v>2009</v>
      </c>
      <c r="D145" s="25">
        <v>130.649</v>
      </c>
      <c r="E145" s="25">
        <v>2.5569999999999999</v>
      </c>
      <c r="F145" s="25">
        <v>2.1869999999999998</v>
      </c>
      <c r="G145" s="25">
        <f t="shared" si="524"/>
        <v>26.518833333333333</v>
      </c>
      <c r="H145" s="25">
        <f t="shared" si="525"/>
        <v>159.113</v>
      </c>
      <c r="I145" s="25">
        <v>0</v>
      </c>
      <c r="J145" s="25">
        <v>0</v>
      </c>
      <c r="K145" s="25">
        <v>0</v>
      </c>
      <c r="L145" s="25">
        <f t="shared" si="526"/>
        <v>0</v>
      </c>
      <c r="M145" s="25">
        <f t="shared" si="527"/>
        <v>0</v>
      </c>
      <c r="N145" s="25">
        <f t="shared" si="309"/>
        <v>26.518833333333333</v>
      </c>
      <c r="O145" s="25">
        <f t="shared" si="309"/>
        <v>159.113</v>
      </c>
      <c r="P145" s="26">
        <f t="shared" si="528"/>
        <v>1</v>
      </c>
      <c r="Q145" s="26">
        <f t="shared" si="572"/>
        <v>0.82110826896608069</v>
      </c>
      <c r="R145" s="26">
        <f t="shared" si="385"/>
        <v>9.6422039682489802E-2</v>
      </c>
      <c r="S145" s="26">
        <f t="shared" si="386"/>
        <v>8.246969135142948E-2</v>
      </c>
      <c r="T145" s="207">
        <v>13.457000000000001</v>
      </c>
      <c r="U145" s="207">
        <v>25.382000000000001</v>
      </c>
      <c r="V145" s="207">
        <v>1169.0119999999999</v>
      </c>
      <c r="W145" s="25">
        <f t="shared" si="606"/>
        <v>1402.0459999999998</v>
      </c>
      <c r="X145" s="25">
        <f t="shared" si="608"/>
        <v>380.51699999999983</v>
      </c>
      <c r="Y145" s="25">
        <f t="shared" si="607"/>
        <v>233.67433333333332</v>
      </c>
      <c r="Z145" s="25">
        <f t="shared" si="609"/>
        <v>63.419499999999999</v>
      </c>
      <c r="AA145" s="204">
        <f>+Z145/Y144</f>
        <v>0.372497501294628</v>
      </c>
      <c r="AB145" s="27"/>
      <c r="AC145" s="28">
        <v>-37.497</v>
      </c>
      <c r="AD145" s="28">
        <v>620.11400000000003</v>
      </c>
      <c r="AE145" s="28">
        <v>0</v>
      </c>
      <c r="AF145" s="28">
        <v>0</v>
      </c>
      <c r="AG145" s="29">
        <f t="shared" si="17"/>
        <v>582.61700000000008</v>
      </c>
      <c r="AH145" s="28">
        <v>-1.536</v>
      </c>
      <c r="AI145" s="28">
        <v>3.4790000000000001</v>
      </c>
      <c r="AJ145" s="28">
        <v>0</v>
      </c>
      <c r="AK145" s="28">
        <v>0</v>
      </c>
      <c r="AL145" s="29">
        <f t="shared" si="536"/>
        <v>1.9430000000000001</v>
      </c>
      <c r="AM145" s="28">
        <v>8.4339999999999993</v>
      </c>
      <c r="AN145" s="28">
        <v>21.492000000000001</v>
      </c>
      <c r="AO145" s="28">
        <v>0</v>
      </c>
      <c r="AP145" s="28">
        <v>0</v>
      </c>
      <c r="AQ145" s="29">
        <f t="shared" si="610"/>
        <v>29.926000000000002</v>
      </c>
      <c r="AR145" s="29">
        <f t="shared" si="531"/>
        <v>773.83100000000013</v>
      </c>
      <c r="AS145" s="29">
        <f t="shared" si="532"/>
        <v>128.97183333333334</v>
      </c>
      <c r="AT145" s="30">
        <v>176.86699999999999</v>
      </c>
      <c r="AU145" s="30">
        <v>0</v>
      </c>
      <c r="AV145" s="30">
        <f>57.121+42.082</f>
        <v>99.203000000000003</v>
      </c>
      <c r="AW145" s="30">
        <f>497.702+29.524</f>
        <v>527.226</v>
      </c>
      <c r="AX145" s="31">
        <f t="shared" si="390"/>
        <v>803.29600000000005</v>
      </c>
      <c r="AY145" s="25">
        <f t="shared" ref="AY145:AY150" si="611">SUM(AX143:AX145)</f>
        <v>3791.3460000000005</v>
      </c>
      <c r="AZ145" s="25">
        <f t="shared" ref="AZ145:AZ151" si="612">SUM(AS143:AS145)</f>
        <v>329.4878333333333</v>
      </c>
      <c r="BA145" s="25">
        <f t="shared" ref="BA145:BA151" si="613">SUM(AR143:AR145)</f>
        <v>1976.9270000000001</v>
      </c>
      <c r="BB145" s="31">
        <f t="shared" ref="BB145:BB150" si="614">AY145/AZ145</f>
        <v>11.506786037117205</v>
      </c>
      <c r="BC145" s="31">
        <f t="shared" ref="BC145:BC150" si="615">AY145/BA145</f>
        <v>1.9177976728528672</v>
      </c>
      <c r="BD145" s="27" t="s">
        <v>64</v>
      </c>
      <c r="BE145" s="32">
        <f>98+37</f>
        <v>135</v>
      </c>
      <c r="BF145" s="34">
        <v>0</v>
      </c>
      <c r="BG145" s="34">
        <v>115</v>
      </c>
      <c r="BH145" s="32">
        <f>IF(BG145=0,BF145*$BT145,BG145)</f>
        <v>115</v>
      </c>
      <c r="BI145" s="34">
        <v>0</v>
      </c>
      <c r="BJ145" s="34">
        <v>0.17</v>
      </c>
      <c r="BK145" s="32">
        <f>IF(BJ145=0,BI145*$BT145,BJ145)</f>
        <v>0.17</v>
      </c>
      <c r="BL145" s="34">
        <v>0</v>
      </c>
      <c r="BM145" s="34">
        <v>26</v>
      </c>
      <c r="BN145" s="32">
        <f>IF(BM145=0,BL145*$BT145,BM145)</f>
        <v>26</v>
      </c>
      <c r="BO145" s="34">
        <v>0</v>
      </c>
      <c r="BP145" s="34">
        <v>108.685</v>
      </c>
      <c r="BQ145" s="32">
        <f>IF(BP145=0,BO145*$BT145,BP145)</f>
        <v>108.685</v>
      </c>
      <c r="BR145" s="34">
        <v>751.74900000000002</v>
      </c>
      <c r="BS145" s="34">
        <v>751.74900000000002</v>
      </c>
      <c r="BT145" s="201">
        <f t="shared" ref="BT145:BT151" si="616">+P145*BR145/BS145</f>
        <v>1</v>
      </c>
      <c r="BU145" s="35">
        <f t="shared" ref="BU145:BU151" si="617">BQ145+BN145+BK145+BH145+BE145</f>
        <v>384.85500000000002</v>
      </c>
      <c r="BV145" s="31">
        <f t="shared" ref="BV145:BV151" si="618">BU145/G145</f>
        <v>14.512516262027617</v>
      </c>
      <c r="BW145" s="31">
        <f t="shared" ref="BW145:BW151" si="619">BU145/H145</f>
        <v>2.418752710337936</v>
      </c>
      <c r="BX145" s="27" t="s">
        <v>65</v>
      </c>
      <c r="BY145" s="90">
        <f t="shared" ref="BY145:BY151" si="620">BU145+AX145</f>
        <v>1188.1510000000001</v>
      </c>
      <c r="BZ145" s="38">
        <f t="shared" ref="BZ145:BZ151" si="621">(BY145*0.1)</f>
        <v>118.81510000000002</v>
      </c>
      <c r="CA145" s="140">
        <f t="shared" si="533"/>
        <v>0.14790948790981159</v>
      </c>
      <c r="CB145" s="38">
        <f t="shared" ref="CB145:CB151" si="622">BZ145/G145</f>
        <v>4.4804044924047695</v>
      </c>
      <c r="CC145" s="38">
        <f t="shared" ref="CC145:CC151" si="623">BZ145/H145</f>
        <v>0.74673408206746161</v>
      </c>
      <c r="CD145" s="38">
        <f t="shared" ref="CD145:CE151" si="624">+$AX145/G145</f>
        <v>30.291528662020077</v>
      </c>
      <c r="CE145" s="38">
        <f t="shared" si="624"/>
        <v>5.048588110336679</v>
      </c>
      <c r="CF145" s="38">
        <f t="shared" ref="CF145:CF151" si="625">BB145+BV145</f>
        <v>26.019302299144822</v>
      </c>
      <c r="CG145" s="38">
        <f t="shared" ref="CG145:CG151" si="626">CB145+CF145</f>
        <v>30.499706791549592</v>
      </c>
      <c r="CH145" s="38">
        <f t="shared" ref="CH145:CH151" si="627">CF145+CD145</f>
        <v>56.310830961164896</v>
      </c>
      <c r="CI145" s="38">
        <f t="shared" ref="CI145:CI151" si="628">+BC145+BW145</f>
        <v>4.3365503831908034</v>
      </c>
      <c r="CJ145" s="38">
        <f t="shared" ref="CJ145:CJ151" si="629">+CI145+CC145</f>
        <v>5.0832844652582647</v>
      </c>
      <c r="CK145" s="38">
        <f t="shared" ref="CK145:CK151" si="630">+CI145+CE145</f>
        <v>9.3851384935274815</v>
      </c>
      <c r="CL145" s="37">
        <v>4</v>
      </c>
      <c r="CM145" s="38">
        <f>+CF145/10</f>
        <v>2.6019302299144824</v>
      </c>
      <c r="CN145" s="38">
        <f t="shared" ref="CN145:CN151" si="631">+CM145*G145</f>
        <v>69.000154112063839</v>
      </c>
      <c r="CO145" s="145">
        <f t="shared" ref="CO145:CO151" si="632">+CN145/AX145</f>
        <v>8.5896299884555424E-2</v>
      </c>
      <c r="CP145" s="62">
        <v>8</v>
      </c>
      <c r="CQ145" s="327"/>
      <c r="CS145" s="271"/>
      <c r="CT145" s="133"/>
      <c r="CU145" s="133"/>
      <c r="CV145" s="133"/>
      <c r="CW145" s="133"/>
      <c r="CX145" s="133"/>
      <c r="CY145" s="133"/>
      <c r="CZ145" s="133"/>
      <c r="DA145" s="133"/>
      <c r="DB145" s="133"/>
      <c r="DC145" s="133"/>
      <c r="DD145" s="133"/>
      <c r="DE145" s="273"/>
      <c r="DF145" s="273"/>
      <c r="DG145" s="273"/>
      <c r="DH145" s="132"/>
      <c r="DI145" s="132"/>
      <c r="DJ145" s="132"/>
      <c r="DK145" s="132"/>
      <c r="DL145" s="132"/>
      <c r="DM145" s="132"/>
      <c r="DN145" s="132"/>
      <c r="DO145" s="132"/>
      <c r="DP145" s="132"/>
      <c r="DQ145" s="132"/>
      <c r="DR145" s="132"/>
      <c r="DS145" s="132"/>
      <c r="DT145" s="276"/>
      <c r="DU145" s="276"/>
      <c r="DV145" s="276"/>
      <c r="DW145" s="279"/>
      <c r="DX145" s="279"/>
      <c r="DY145" s="279"/>
      <c r="DZ145" s="279"/>
      <c r="EA145" s="279"/>
      <c r="EB145" s="279"/>
      <c r="EC145" s="279"/>
      <c r="ED145" s="279"/>
      <c r="EE145" s="279"/>
      <c r="EF145" s="279"/>
      <c r="EG145" s="279"/>
      <c r="EH145" s="279"/>
      <c r="EI145" s="281"/>
      <c r="EJ145" s="281"/>
      <c r="EK145" s="295"/>
      <c r="EL145" s="343">
        <v>61.95</v>
      </c>
      <c r="EM145" s="343">
        <v>3.94</v>
      </c>
      <c r="EN145" s="343">
        <v>8.99</v>
      </c>
      <c r="EO145" s="116"/>
      <c r="EP145" s="116"/>
      <c r="EQ145" s="116"/>
      <c r="ER145" s="116"/>
      <c r="ES145" s="116"/>
      <c r="ET145" s="116"/>
      <c r="EU145" s="116"/>
      <c r="EV145" s="116"/>
      <c r="EW145" s="116"/>
      <c r="EX145" s="116"/>
      <c r="EY145" s="116"/>
      <c r="EZ145" s="116"/>
    </row>
    <row r="146" spans="1:156" ht="27.75" customHeight="1" x14ac:dyDescent="0.3">
      <c r="A146" s="24" t="s">
        <v>62</v>
      </c>
      <c r="B146" s="24" t="s">
        <v>63</v>
      </c>
      <c r="C146" s="1">
        <v>2010</v>
      </c>
      <c r="D146" s="25">
        <v>142.03399999999999</v>
      </c>
      <c r="E146" s="25">
        <v>1.9690000000000001</v>
      </c>
      <c r="F146" s="25">
        <v>4.49</v>
      </c>
      <c r="G146" s="25">
        <f t="shared" si="524"/>
        <v>30.13133333333333</v>
      </c>
      <c r="H146" s="25">
        <f t="shared" si="525"/>
        <v>180.78799999999998</v>
      </c>
      <c r="I146" s="25">
        <v>0</v>
      </c>
      <c r="J146" s="25">
        <v>0</v>
      </c>
      <c r="K146" s="25">
        <v>0</v>
      </c>
      <c r="L146" s="25">
        <f t="shared" si="526"/>
        <v>0</v>
      </c>
      <c r="M146" s="25">
        <f t="shared" si="527"/>
        <v>0</v>
      </c>
      <c r="N146" s="25">
        <f t="shared" si="309"/>
        <v>30.13133333333333</v>
      </c>
      <c r="O146" s="25">
        <f t="shared" si="309"/>
        <v>180.78799999999998</v>
      </c>
      <c r="P146" s="26">
        <f t="shared" si="528"/>
        <v>1</v>
      </c>
      <c r="Q146" s="26">
        <f t="shared" si="572"/>
        <v>0.7856384273292476</v>
      </c>
      <c r="R146" s="26">
        <f t="shared" si="385"/>
        <v>6.5347257561342575E-2</v>
      </c>
      <c r="S146" s="26">
        <f t="shared" si="386"/>
        <v>0.14901431510940993</v>
      </c>
      <c r="T146" s="207">
        <v>6.1890000000000001</v>
      </c>
      <c r="U146" s="207">
        <v>69.650999999999996</v>
      </c>
      <c r="V146" s="207">
        <v>1803.76</v>
      </c>
      <c r="W146" s="25">
        <f t="shared" si="606"/>
        <v>2258.8000000000002</v>
      </c>
      <c r="X146" s="25">
        <f t="shared" si="608"/>
        <v>856.75400000000036</v>
      </c>
      <c r="Y146" s="25">
        <f t="shared" si="607"/>
        <v>376.4666666666667</v>
      </c>
      <c r="Z146" s="25">
        <f t="shared" si="609"/>
        <v>142.79233333333337</v>
      </c>
      <c r="AA146" s="204">
        <f t="shared" ref="AA146:AA151" si="633">+Z146/Y145</f>
        <v>0.61107410170565035</v>
      </c>
      <c r="AB146" s="27"/>
      <c r="AC146" s="28">
        <v>3.5990000000000002</v>
      </c>
      <c r="AD146" s="28">
        <v>1089.6320000000001</v>
      </c>
      <c r="AE146" s="28">
        <v>124.98099999999999</v>
      </c>
      <c r="AF146" s="28">
        <v>0</v>
      </c>
      <c r="AG146" s="29">
        <f t="shared" si="17"/>
        <v>1218.212</v>
      </c>
      <c r="AH146" s="28">
        <v>-2.6720000000000002</v>
      </c>
      <c r="AI146" s="28">
        <v>4.6630000000000003</v>
      </c>
      <c r="AJ146" s="28">
        <v>0</v>
      </c>
      <c r="AK146" s="28">
        <v>0</v>
      </c>
      <c r="AL146" s="29">
        <f t="shared" si="536"/>
        <v>1.9910000000000001</v>
      </c>
      <c r="AM146" s="28">
        <v>26.832000000000001</v>
      </c>
      <c r="AN146" s="28">
        <v>48.792000000000002</v>
      </c>
      <c r="AO146" s="28">
        <v>0</v>
      </c>
      <c r="AP146" s="28">
        <v>0</v>
      </c>
      <c r="AQ146" s="29">
        <f t="shared" si="610"/>
        <v>75.623999999999995</v>
      </c>
      <c r="AR146" s="29">
        <f t="shared" si="531"/>
        <v>1683.9019999999998</v>
      </c>
      <c r="AS146" s="29">
        <f t="shared" si="532"/>
        <v>280.65033333333338</v>
      </c>
      <c r="AT146" s="30">
        <f>3.697+151.572</f>
        <v>155.26900000000001</v>
      </c>
      <c r="AU146" s="30">
        <v>130.767</v>
      </c>
      <c r="AV146" s="30">
        <f>50.433+56.298+4.209</f>
        <v>110.94</v>
      </c>
      <c r="AW146" s="30">
        <f>727.72+19.627</f>
        <v>747.34699999999998</v>
      </c>
      <c r="AX146" s="31">
        <f t="shared" si="390"/>
        <v>1144.3229999999999</v>
      </c>
      <c r="AY146" s="25">
        <f t="shared" si="611"/>
        <v>3765.877</v>
      </c>
      <c r="AZ146" s="25">
        <f t="shared" si="612"/>
        <v>504.89766666666674</v>
      </c>
      <c r="BA146" s="25">
        <f t="shared" si="613"/>
        <v>3029.386</v>
      </c>
      <c r="BB146" s="31">
        <f t="shared" si="614"/>
        <v>7.458693609860215</v>
      </c>
      <c r="BC146" s="31">
        <f t="shared" si="615"/>
        <v>1.2431156016433693</v>
      </c>
      <c r="BD146" s="27" t="s">
        <v>64</v>
      </c>
      <c r="BE146" s="32">
        <f>96+63</f>
        <v>159</v>
      </c>
      <c r="BF146" s="34">
        <v>0</v>
      </c>
      <c r="BG146" s="34">
        <v>141</v>
      </c>
      <c r="BH146" s="32">
        <f t="shared" ref="BH146:BH151" si="634">IF(BG146=0,BF146*$BT146,BG146)</f>
        <v>141</v>
      </c>
      <c r="BI146" s="34">
        <v>0</v>
      </c>
      <c r="BJ146" s="34">
        <v>-1.359</v>
      </c>
      <c r="BK146" s="32">
        <f t="shared" ref="BK146:BK151" si="635">IF(BJ146=0,BI146*$BT146,BJ146)</f>
        <v>-1.359</v>
      </c>
      <c r="BL146" s="34">
        <v>0</v>
      </c>
      <c r="BM146" s="34">
        <v>26</v>
      </c>
      <c r="BN146" s="32">
        <f t="shared" ref="BN146:BN151" si="636">IF(BM146=0,BL146*$BT146,BM146)</f>
        <v>26</v>
      </c>
      <c r="BO146" s="34">
        <v>0</v>
      </c>
      <c r="BP146" s="34">
        <v>116.76600000000001</v>
      </c>
      <c r="BQ146" s="32">
        <f t="shared" ref="BQ146:BQ151" si="637">IF(BP146=0,BO146*$BT146,BP146)</f>
        <v>116.76600000000001</v>
      </c>
      <c r="BR146" s="34">
        <v>823.29</v>
      </c>
      <c r="BS146" s="34">
        <v>823.29</v>
      </c>
      <c r="BT146" s="201">
        <f t="shared" si="616"/>
        <v>1</v>
      </c>
      <c r="BU146" s="35">
        <f t="shared" si="617"/>
        <v>441.40700000000004</v>
      </c>
      <c r="BV146" s="31">
        <f t="shared" si="618"/>
        <v>14.649434696993167</v>
      </c>
      <c r="BW146" s="31">
        <f t="shared" si="619"/>
        <v>2.4415724494988611</v>
      </c>
      <c r="BX146" s="27" t="s">
        <v>65</v>
      </c>
      <c r="BY146" s="90">
        <f t="shared" si="620"/>
        <v>1585.73</v>
      </c>
      <c r="BZ146" s="38">
        <f t="shared" si="621"/>
        <v>158.57300000000001</v>
      </c>
      <c r="CA146" s="140">
        <f t="shared" si="533"/>
        <v>0.13857363698885719</v>
      </c>
      <c r="CB146" s="38">
        <f t="shared" si="622"/>
        <v>5.2627276146646906</v>
      </c>
      <c r="CC146" s="38">
        <f t="shared" si="623"/>
        <v>0.87712126911078181</v>
      </c>
      <c r="CD146" s="38">
        <f t="shared" si="624"/>
        <v>37.977841449653738</v>
      </c>
      <c r="CE146" s="38">
        <f t="shared" si="624"/>
        <v>6.3296402416089563</v>
      </c>
      <c r="CF146" s="38">
        <f t="shared" si="625"/>
        <v>22.108128306853381</v>
      </c>
      <c r="CG146" s="38">
        <f t="shared" si="626"/>
        <v>27.370855921518071</v>
      </c>
      <c r="CH146" s="38">
        <f t="shared" si="627"/>
        <v>60.085969756507119</v>
      </c>
      <c r="CI146" s="38">
        <f t="shared" si="628"/>
        <v>3.6846880511422304</v>
      </c>
      <c r="CJ146" s="38">
        <f t="shared" si="629"/>
        <v>4.5618093202530119</v>
      </c>
      <c r="CK146" s="38">
        <f t="shared" si="630"/>
        <v>10.014328292751188</v>
      </c>
      <c r="CL146" s="37">
        <v>4</v>
      </c>
      <c r="CM146" s="38">
        <f t="shared" ref="CM146:CM151" si="638">+CF146/10</f>
        <v>2.2108128306853381</v>
      </c>
      <c r="CN146" s="38">
        <f t="shared" si="631"/>
        <v>66.614738338990136</v>
      </c>
      <c r="CO146" s="145">
        <f t="shared" si="632"/>
        <v>5.8213230302100148E-2</v>
      </c>
      <c r="CP146" s="63">
        <v>11</v>
      </c>
      <c r="CQ146" s="327"/>
      <c r="CS146" s="271"/>
      <c r="CT146" s="133"/>
      <c r="CU146" s="133"/>
      <c r="CV146" s="133"/>
      <c r="CW146" s="133"/>
      <c r="CX146" s="133"/>
      <c r="CY146" s="133"/>
      <c r="CZ146" s="133"/>
      <c r="DA146" s="133"/>
      <c r="DB146" s="133"/>
      <c r="DC146" s="133"/>
      <c r="DD146" s="133"/>
      <c r="DE146" s="273"/>
      <c r="DF146" s="273"/>
      <c r="DG146" s="273"/>
      <c r="DH146" s="132"/>
      <c r="DI146" s="132"/>
      <c r="DJ146" s="132"/>
      <c r="DK146" s="132"/>
      <c r="DL146" s="132"/>
      <c r="DM146" s="132"/>
      <c r="DN146" s="132"/>
      <c r="DO146" s="132"/>
      <c r="DP146" s="132"/>
      <c r="DQ146" s="132"/>
      <c r="DR146" s="132"/>
      <c r="DS146" s="132"/>
      <c r="DT146" s="276"/>
      <c r="DU146" s="276"/>
      <c r="DV146" s="276"/>
      <c r="DW146" s="279"/>
      <c r="DX146" s="279"/>
      <c r="DY146" s="279"/>
      <c r="DZ146" s="279"/>
      <c r="EA146" s="279"/>
      <c r="EB146" s="279"/>
      <c r="EC146" s="279"/>
      <c r="ED146" s="279"/>
      <c r="EE146" s="279"/>
      <c r="EF146" s="279"/>
      <c r="EG146" s="279"/>
      <c r="EH146" s="279"/>
      <c r="EI146" s="281"/>
      <c r="EJ146" s="281"/>
      <c r="EK146" s="295"/>
      <c r="EL146" s="343">
        <v>79.48</v>
      </c>
      <c r="EM146" s="343">
        <v>4.37</v>
      </c>
      <c r="EN146" s="343">
        <v>11.83</v>
      </c>
      <c r="EO146" s="116"/>
      <c r="EP146" s="116"/>
      <c r="EQ146" s="116"/>
      <c r="ER146" s="116"/>
      <c r="ES146" s="116"/>
      <c r="ET146" s="116"/>
      <c r="EU146" s="116"/>
      <c r="EV146" s="116"/>
      <c r="EW146" s="116"/>
      <c r="EX146" s="116"/>
      <c r="EY146" s="116"/>
      <c r="EZ146" s="116"/>
    </row>
    <row r="147" spans="1:156" ht="27.75" customHeight="1" x14ac:dyDescent="0.3">
      <c r="A147" s="24" t="s">
        <v>62</v>
      </c>
      <c r="B147" s="24" t="s">
        <v>63</v>
      </c>
      <c r="C147" s="1">
        <v>2011</v>
      </c>
      <c r="D147" s="25">
        <v>157.001</v>
      </c>
      <c r="E147" s="25">
        <v>1.968</v>
      </c>
      <c r="F147" s="25">
        <v>5.5730000000000004</v>
      </c>
      <c r="G147" s="25">
        <f t="shared" si="524"/>
        <v>33.707833333333333</v>
      </c>
      <c r="H147" s="25">
        <f t="shared" si="525"/>
        <v>202.24700000000001</v>
      </c>
      <c r="I147" s="25">
        <v>0</v>
      </c>
      <c r="J147" s="25">
        <v>0</v>
      </c>
      <c r="K147" s="25">
        <v>0</v>
      </c>
      <c r="L147" s="25">
        <f t="shared" si="526"/>
        <v>0</v>
      </c>
      <c r="M147" s="25">
        <f t="shared" si="527"/>
        <v>0</v>
      </c>
      <c r="N147" s="25">
        <f t="shared" si="309"/>
        <v>33.707833333333333</v>
      </c>
      <c r="O147" s="25">
        <f t="shared" si="309"/>
        <v>202.24700000000001</v>
      </c>
      <c r="P147" s="26">
        <f t="shared" si="528"/>
        <v>1</v>
      </c>
      <c r="Q147" s="26">
        <f t="shared" si="572"/>
        <v>0.77628345537881893</v>
      </c>
      <c r="R147" s="26">
        <f t="shared" si="385"/>
        <v>5.8384055140496521E-2</v>
      </c>
      <c r="S147" s="26">
        <f t="shared" si="386"/>
        <v>0.16533248948068452</v>
      </c>
      <c r="T147" s="207">
        <v>13.66</v>
      </c>
      <c r="U147" s="207">
        <v>78.043000000000006</v>
      </c>
      <c r="V147" s="207">
        <v>2102.4670000000001</v>
      </c>
      <c r="W147" s="25">
        <f t="shared" si="606"/>
        <v>2652.6850000000004</v>
      </c>
      <c r="X147" s="25">
        <f t="shared" si="608"/>
        <v>393.88500000000022</v>
      </c>
      <c r="Y147" s="25">
        <f t="shared" si="607"/>
        <v>442.11416666666673</v>
      </c>
      <c r="Z147" s="25">
        <f t="shared" si="609"/>
        <v>65.647500000000036</v>
      </c>
      <c r="AA147" s="204">
        <f t="shared" si="633"/>
        <v>0.17437798831237833</v>
      </c>
      <c r="AB147" s="27"/>
      <c r="AC147" s="28">
        <v>73.643000000000001</v>
      </c>
      <c r="AD147" s="28">
        <v>1304.3240000000001</v>
      </c>
      <c r="AE147" s="28">
        <v>0</v>
      </c>
      <c r="AF147" s="28">
        <v>0</v>
      </c>
      <c r="AG147" s="29">
        <f t="shared" si="17"/>
        <v>1377.9670000000001</v>
      </c>
      <c r="AH147" s="28">
        <v>6.5220000000000002</v>
      </c>
      <c r="AI147" s="28">
        <v>4.915</v>
      </c>
      <c r="AJ147" s="28">
        <v>0</v>
      </c>
      <c r="AK147" s="28">
        <v>0</v>
      </c>
      <c r="AL147" s="29">
        <f t="shared" si="536"/>
        <v>11.437000000000001</v>
      </c>
      <c r="AM147" s="28">
        <v>18.626999999999999</v>
      </c>
      <c r="AN147" s="28">
        <v>26.591000000000001</v>
      </c>
      <c r="AO147" s="28">
        <v>0</v>
      </c>
      <c r="AP147" s="28">
        <v>0</v>
      </c>
      <c r="AQ147" s="29">
        <f t="shared" si="610"/>
        <v>45.218000000000004</v>
      </c>
      <c r="AR147" s="29">
        <f t="shared" si="531"/>
        <v>1717.8970000000002</v>
      </c>
      <c r="AS147" s="29">
        <f t="shared" si="532"/>
        <v>286.31616666666667</v>
      </c>
      <c r="AT147" s="30">
        <v>220.57900000000001</v>
      </c>
      <c r="AU147" s="30">
        <v>0</v>
      </c>
      <c r="AV147" s="30">
        <f>226.92+77.259</f>
        <v>304.17899999999997</v>
      </c>
      <c r="AW147" s="30">
        <f>1007.049+53.387+4.108</f>
        <v>1064.5439999999999</v>
      </c>
      <c r="AX147" s="31">
        <f t="shared" si="390"/>
        <v>1589.3019999999999</v>
      </c>
      <c r="AY147" s="25">
        <f t="shared" si="611"/>
        <v>3536.9209999999998</v>
      </c>
      <c r="AZ147" s="25">
        <f t="shared" si="612"/>
        <v>695.93833333333339</v>
      </c>
      <c r="BA147" s="25">
        <f t="shared" si="613"/>
        <v>4175.63</v>
      </c>
      <c r="BB147" s="31">
        <f t="shared" si="614"/>
        <v>5.0822333396397665</v>
      </c>
      <c r="BC147" s="31">
        <f t="shared" si="615"/>
        <v>0.84703888993996113</v>
      </c>
      <c r="BD147" s="27" t="s">
        <v>64</v>
      </c>
      <c r="BE147" s="32">
        <f>113+121</f>
        <v>234</v>
      </c>
      <c r="BF147" s="34">
        <v>0</v>
      </c>
      <c r="BG147" s="34">
        <v>151.19999999999999</v>
      </c>
      <c r="BH147" s="32">
        <f t="shared" si="634"/>
        <v>151.19999999999999</v>
      </c>
      <c r="BI147" s="34">
        <v>0</v>
      </c>
      <c r="BJ147" s="34">
        <v>0.67500000000000004</v>
      </c>
      <c r="BK147" s="32">
        <f t="shared" si="635"/>
        <v>0.67500000000000004</v>
      </c>
      <c r="BL147" s="34">
        <v>0</v>
      </c>
      <c r="BM147" s="34">
        <v>27.7</v>
      </c>
      <c r="BN147" s="32">
        <f t="shared" si="636"/>
        <v>27.7</v>
      </c>
      <c r="BO147" s="34">
        <v>0</v>
      </c>
      <c r="BP147" s="34">
        <v>133.10300000000001</v>
      </c>
      <c r="BQ147" s="32">
        <f t="shared" si="637"/>
        <v>133.10300000000001</v>
      </c>
      <c r="BR147" s="34">
        <v>1173.2660000000001</v>
      </c>
      <c r="BS147" s="34">
        <v>1173.2660000000001</v>
      </c>
      <c r="BT147" s="201">
        <f t="shared" si="616"/>
        <v>1</v>
      </c>
      <c r="BU147" s="35">
        <f t="shared" si="617"/>
        <v>546.678</v>
      </c>
      <c r="BV147" s="31">
        <f t="shared" si="618"/>
        <v>16.218129317122134</v>
      </c>
      <c r="BW147" s="31">
        <f t="shared" si="619"/>
        <v>2.7030215528536887</v>
      </c>
      <c r="BX147" s="27" t="s">
        <v>65</v>
      </c>
      <c r="BY147" s="90">
        <f t="shared" si="620"/>
        <v>2135.98</v>
      </c>
      <c r="BZ147" s="38">
        <f t="shared" si="621"/>
        <v>213.59800000000001</v>
      </c>
      <c r="CA147" s="140">
        <f t="shared" si="533"/>
        <v>0.13439736437756955</v>
      </c>
      <c r="CB147" s="38">
        <f t="shared" si="622"/>
        <v>6.336746651371838</v>
      </c>
      <c r="CC147" s="38">
        <f t="shared" si="623"/>
        <v>1.0561244418953062</v>
      </c>
      <c r="CD147" s="38">
        <f t="shared" si="624"/>
        <v>47.149337196596235</v>
      </c>
      <c r="CE147" s="38">
        <f t="shared" si="624"/>
        <v>7.8582228660993723</v>
      </c>
      <c r="CF147" s="38">
        <f t="shared" si="625"/>
        <v>21.300362656761902</v>
      </c>
      <c r="CG147" s="38">
        <f t="shared" si="626"/>
        <v>27.637109308133738</v>
      </c>
      <c r="CH147" s="38">
        <f t="shared" si="627"/>
        <v>68.44969985335814</v>
      </c>
      <c r="CI147" s="38">
        <f t="shared" si="628"/>
        <v>3.55006044279365</v>
      </c>
      <c r="CJ147" s="38">
        <f t="shared" si="629"/>
        <v>4.6061848846889557</v>
      </c>
      <c r="CK147" s="38">
        <f t="shared" si="630"/>
        <v>11.408283308893022</v>
      </c>
      <c r="CL147" s="37">
        <v>4</v>
      </c>
      <c r="CM147" s="38">
        <f t="shared" si="638"/>
        <v>2.13003626567619</v>
      </c>
      <c r="CN147" s="38">
        <f t="shared" si="631"/>
        <v>71.798907437368726</v>
      </c>
      <c r="CO147" s="145">
        <f t="shared" si="632"/>
        <v>4.5176377703777339E-2</v>
      </c>
      <c r="CP147" s="63">
        <v>10</v>
      </c>
      <c r="CQ147" s="327"/>
      <c r="CS147" s="271"/>
      <c r="CT147" s="133"/>
      <c r="CU147" s="133"/>
      <c r="CV147" s="133"/>
      <c r="CW147" s="133"/>
      <c r="CX147" s="133"/>
      <c r="CY147" s="133"/>
      <c r="CZ147" s="133"/>
      <c r="DA147" s="133"/>
      <c r="DB147" s="133"/>
      <c r="DC147" s="133"/>
      <c r="DD147" s="133"/>
      <c r="DE147" s="273"/>
      <c r="DF147" s="273"/>
      <c r="DG147" s="273"/>
      <c r="DH147" s="132"/>
      <c r="DI147" s="132"/>
      <c r="DJ147" s="132"/>
      <c r="DK147" s="132"/>
      <c r="DL147" s="132"/>
      <c r="DM147" s="132"/>
      <c r="DN147" s="132"/>
      <c r="DO147" s="132"/>
      <c r="DP147" s="132"/>
      <c r="DQ147" s="132"/>
      <c r="DR147" s="132"/>
      <c r="DS147" s="132"/>
      <c r="DT147" s="276"/>
      <c r="DU147" s="276"/>
      <c r="DV147" s="276"/>
      <c r="DW147" s="279"/>
      <c r="DX147" s="279"/>
      <c r="DY147" s="279"/>
      <c r="DZ147" s="279"/>
      <c r="EA147" s="279"/>
      <c r="EB147" s="279"/>
      <c r="EC147" s="279"/>
      <c r="ED147" s="279"/>
      <c r="EE147" s="279"/>
      <c r="EF147" s="279"/>
      <c r="EG147" s="279"/>
      <c r="EH147" s="279"/>
      <c r="EI147" s="281"/>
      <c r="EJ147" s="281"/>
      <c r="EK147" s="295"/>
      <c r="EL147" s="343">
        <v>94.88</v>
      </c>
      <c r="EM147" s="343">
        <v>4</v>
      </c>
      <c r="EN147" s="343">
        <v>15.12</v>
      </c>
      <c r="EO147" s="116"/>
      <c r="EP147" s="116"/>
      <c r="EQ147" s="116"/>
      <c r="ER147" s="116"/>
      <c r="ES147" s="116"/>
      <c r="ET147" s="116"/>
      <c r="EU147" s="116"/>
      <c r="EV147" s="116"/>
      <c r="EW147" s="116"/>
      <c r="EX147" s="116"/>
      <c r="EY147" s="116"/>
      <c r="EZ147" s="116"/>
    </row>
    <row r="148" spans="1:156" ht="27.75" customHeight="1" x14ac:dyDescent="0.3">
      <c r="A148" s="39" t="s">
        <v>62</v>
      </c>
      <c r="B148" s="39" t="s">
        <v>63</v>
      </c>
      <c r="C148" s="22">
        <v>2012</v>
      </c>
      <c r="D148" s="25">
        <v>216.55500000000001</v>
      </c>
      <c r="E148" s="25">
        <v>2.851</v>
      </c>
      <c r="F148" s="25">
        <v>6.9690000000000003</v>
      </c>
      <c r="G148" s="25">
        <f t="shared" si="524"/>
        <v>45.912500000000001</v>
      </c>
      <c r="H148" s="25">
        <f t="shared" si="525"/>
        <v>275.47500000000002</v>
      </c>
      <c r="I148" s="25">
        <v>0</v>
      </c>
      <c r="J148" s="25">
        <v>0</v>
      </c>
      <c r="K148" s="25">
        <v>0</v>
      </c>
      <c r="L148" s="25">
        <f t="shared" si="526"/>
        <v>0</v>
      </c>
      <c r="M148" s="25">
        <f t="shared" si="527"/>
        <v>0</v>
      </c>
      <c r="N148" s="25">
        <f t="shared" si="309"/>
        <v>45.912500000000001</v>
      </c>
      <c r="O148" s="25">
        <f t="shared" si="309"/>
        <v>275.47500000000002</v>
      </c>
      <c r="P148" s="26">
        <f t="shared" si="528"/>
        <v>1</v>
      </c>
      <c r="Q148" s="26">
        <f t="shared" si="572"/>
        <v>0.78611489245848076</v>
      </c>
      <c r="R148" s="26">
        <f t="shared" si="385"/>
        <v>6.2096378981758779E-2</v>
      </c>
      <c r="S148" s="26">
        <f t="shared" si="386"/>
        <v>0.15178872855976042</v>
      </c>
      <c r="T148" s="207">
        <v>19.414999999999999</v>
      </c>
      <c r="U148" s="207">
        <v>85.415000000000006</v>
      </c>
      <c r="V148" s="207">
        <v>2419.0720000000001</v>
      </c>
      <c r="W148" s="25">
        <f t="shared" si="606"/>
        <v>3048.0520000000001</v>
      </c>
      <c r="X148" s="25">
        <f t="shared" si="608"/>
        <v>395.36699999999973</v>
      </c>
      <c r="Y148" s="25">
        <f t="shared" si="607"/>
        <v>508.00866666666673</v>
      </c>
      <c r="Z148" s="25">
        <f t="shared" si="609"/>
        <v>65.894499999999994</v>
      </c>
      <c r="AA148" s="204">
        <f t="shared" si="633"/>
        <v>0.14904408175113137</v>
      </c>
      <c r="AB148" s="27"/>
      <c r="AC148" s="28">
        <v>76.924999999999997</v>
      </c>
      <c r="AD148" s="28">
        <v>996.05899999999997</v>
      </c>
      <c r="AE148" s="28">
        <v>0</v>
      </c>
      <c r="AF148" s="28">
        <v>0</v>
      </c>
      <c r="AG148" s="29">
        <f t="shared" si="17"/>
        <v>1072.9839999999999</v>
      </c>
      <c r="AH148" s="28">
        <v>2.3159999999999998</v>
      </c>
      <c r="AI148" s="28">
        <v>15.131</v>
      </c>
      <c r="AJ148" s="28">
        <v>0</v>
      </c>
      <c r="AK148" s="28">
        <v>0</v>
      </c>
      <c r="AL148" s="29">
        <f t="shared" si="536"/>
        <v>17.446999999999999</v>
      </c>
      <c r="AM148" s="28">
        <v>3.036</v>
      </c>
      <c r="AN148" s="28">
        <v>113.392</v>
      </c>
      <c r="AO148" s="28">
        <v>0</v>
      </c>
      <c r="AP148" s="28">
        <v>0</v>
      </c>
      <c r="AQ148" s="29">
        <f t="shared" si="610"/>
        <v>116.428</v>
      </c>
      <c r="AR148" s="29">
        <f t="shared" si="531"/>
        <v>1876.2339999999999</v>
      </c>
      <c r="AS148" s="29">
        <f t="shared" si="532"/>
        <v>312.70566666666662</v>
      </c>
      <c r="AT148" s="30">
        <v>188.84299999999999</v>
      </c>
      <c r="AU148" s="30">
        <v>0</v>
      </c>
      <c r="AV148" s="30">
        <f>309.816+65.758</f>
        <v>375.57399999999996</v>
      </c>
      <c r="AW148" s="30">
        <f>1049.129+41.035+4.049</f>
        <v>1094.213</v>
      </c>
      <c r="AX148" s="31">
        <f t="shared" si="390"/>
        <v>1658.6299999999999</v>
      </c>
      <c r="AY148" s="25">
        <f t="shared" si="611"/>
        <v>4392.2550000000001</v>
      </c>
      <c r="AZ148" s="25">
        <f t="shared" si="612"/>
        <v>879.67216666666661</v>
      </c>
      <c r="BA148" s="25">
        <f t="shared" si="613"/>
        <v>5278.0329999999994</v>
      </c>
      <c r="BB148" s="31">
        <f t="shared" si="614"/>
        <v>4.9930589672326802</v>
      </c>
      <c r="BC148" s="31">
        <f t="shared" si="615"/>
        <v>0.83217649453877995</v>
      </c>
      <c r="BD148" s="27" t="s">
        <v>64</v>
      </c>
      <c r="BE148" s="40">
        <f>115.9+192.445</f>
        <v>308.34500000000003</v>
      </c>
      <c r="BF148" s="34">
        <v>0</v>
      </c>
      <c r="BG148" s="34">
        <v>173.8</v>
      </c>
      <c r="BH148" s="32">
        <f t="shared" si="634"/>
        <v>173.8</v>
      </c>
      <c r="BI148" s="34">
        <v>0</v>
      </c>
      <c r="BJ148" s="34">
        <v>0.38600000000000001</v>
      </c>
      <c r="BK148" s="32">
        <f t="shared" si="635"/>
        <v>0.38600000000000001</v>
      </c>
      <c r="BL148" s="34">
        <v>0</v>
      </c>
      <c r="BM148" s="34">
        <f>17.9+25.2</f>
        <v>43.099999999999994</v>
      </c>
      <c r="BN148" s="32">
        <f t="shared" si="636"/>
        <v>43.099999999999994</v>
      </c>
      <c r="BO148" s="34">
        <v>0</v>
      </c>
      <c r="BP148" s="34">
        <v>153.249</v>
      </c>
      <c r="BQ148" s="32">
        <f t="shared" si="637"/>
        <v>153.249</v>
      </c>
      <c r="BR148" s="34">
        <v>1351.694</v>
      </c>
      <c r="BS148" s="34">
        <v>1351.694</v>
      </c>
      <c r="BT148" s="201">
        <f t="shared" si="616"/>
        <v>1</v>
      </c>
      <c r="BU148" s="35">
        <f t="shared" si="617"/>
        <v>678.88</v>
      </c>
      <c r="BV148" s="31">
        <f t="shared" si="618"/>
        <v>14.786387149469098</v>
      </c>
      <c r="BW148" s="31">
        <f t="shared" si="619"/>
        <v>2.4643978582448498</v>
      </c>
      <c r="BX148" s="27" t="s">
        <v>65</v>
      </c>
      <c r="BY148" s="90">
        <f t="shared" si="620"/>
        <v>2337.5099999999998</v>
      </c>
      <c r="BZ148" s="38">
        <f t="shared" si="621"/>
        <v>233.75099999999998</v>
      </c>
      <c r="CA148" s="140">
        <f t="shared" si="533"/>
        <v>0.14093016525686861</v>
      </c>
      <c r="CB148" s="38">
        <f t="shared" si="622"/>
        <v>5.0912278791178869</v>
      </c>
      <c r="CC148" s="38">
        <f t="shared" si="623"/>
        <v>0.84853797985298107</v>
      </c>
      <c r="CD148" s="38">
        <f t="shared" si="624"/>
        <v>36.125891641709771</v>
      </c>
      <c r="CE148" s="38">
        <f t="shared" si="624"/>
        <v>6.0209819402849618</v>
      </c>
      <c r="CF148" s="38">
        <f t="shared" si="625"/>
        <v>19.779446116701777</v>
      </c>
      <c r="CG148" s="38">
        <f t="shared" si="626"/>
        <v>24.870673995819665</v>
      </c>
      <c r="CH148" s="38">
        <f t="shared" si="627"/>
        <v>55.905337758411548</v>
      </c>
      <c r="CI148" s="38">
        <f t="shared" si="628"/>
        <v>3.2965743527836295</v>
      </c>
      <c r="CJ148" s="38">
        <f t="shared" si="629"/>
        <v>4.1451123326366108</v>
      </c>
      <c r="CK148" s="38">
        <f t="shared" si="630"/>
        <v>9.3175562930685913</v>
      </c>
      <c r="CL148" s="37">
        <v>4</v>
      </c>
      <c r="CM148" s="38">
        <f t="shared" si="638"/>
        <v>1.9779446116701778</v>
      </c>
      <c r="CN148" s="38">
        <f t="shared" si="631"/>
        <v>90.812381983307034</v>
      </c>
      <c r="CO148" s="145">
        <f t="shared" si="632"/>
        <v>5.4751440636734559E-2</v>
      </c>
      <c r="CP148" s="63">
        <v>11.395</v>
      </c>
      <c r="CQ148" s="327"/>
      <c r="CS148" s="270">
        <f>+CT148*CU148</f>
        <v>186.99833000000001</v>
      </c>
      <c r="CT148" s="269">
        <v>46.633000000000003</v>
      </c>
      <c r="CU148" s="133">
        <v>4.01</v>
      </c>
      <c r="CV148" s="269">
        <f>+CW148*CX148</f>
        <v>191.39238</v>
      </c>
      <c r="CW148" s="269">
        <v>52.292999999999999</v>
      </c>
      <c r="CX148" s="133">
        <v>3.66</v>
      </c>
      <c r="CY148" s="269">
        <f>+CZ148*DA148</f>
        <v>222.50636</v>
      </c>
      <c r="CZ148" s="269">
        <v>57.347000000000001</v>
      </c>
      <c r="DA148" s="133">
        <v>3.88</v>
      </c>
      <c r="DB148" s="269">
        <f t="shared" ref="DB148:DC152" si="639">+DE148-CS148-CV148-CY148</f>
        <v>72.588979999999964</v>
      </c>
      <c r="DC148" s="269">
        <f t="shared" si="639"/>
        <v>60.281999999999989</v>
      </c>
      <c r="DD148" s="133">
        <f>+DB148/DC148</f>
        <v>1.2041567963902986</v>
      </c>
      <c r="DE148" s="274">
        <f>+DF148*DG148</f>
        <v>673.48604999999998</v>
      </c>
      <c r="DF148" s="274">
        <v>216.55500000000001</v>
      </c>
      <c r="DG148" s="273">
        <v>3.11</v>
      </c>
      <c r="DH148" s="272">
        <f>+DI148*DJ148</f>
        <v>50.798752579999999</v>
      </c>
      <c r="DI148" s="272">
        <v>0.60807699999999998</v>
      </c>
      <c r="DJ148" s="296">
        <v>83.54</v>
      </c>
      <c r="DK148" s="272">
        <f>+DL148*DM148</f>
        <v>52.527322059999996</v>
      </c>
      <c r="DL148" s="272">
        <v>0.62302599999999997</v>
      </c>
      <c r="DM148" s="296">
        <v>84.31</v>
      </c>
      <c r="DN148" s="272">
        <f>+DO148*DP148</f>
        <v>60.493129879999998</v>
      </c>
      <c r="DO148" s="272">
        <v>0.71285799999999999</v>
      </c>
      <c r="DP148" s="296">
        <v>84.86</v>
      </c>
      <c r="DQ148" s="272">
        <f t="shared" ref="DQ148:DR152" si="640">+DT148-DN148-DK148-DH148</f>
        <v>74.638435480000012</v>
      </c>
      <c r="DR148" s="272">
        <f t="shared" si="640"/>
        <v>0.90703900000000037</v>
      </c>
      <c r="DS148" s="296">
        <f>+DQ148/DR148</f>
        <v>82.28801129830137</v>
      </c>
      <c r="DT148" s="277">
        <f>+DU148*DV148</f>
        <v>238.45764</v>
      </c>
      <c r="DU148" s="277">
        <v>2.851</v>
      </c>
      <c r="DV148" s="297">
        <v>83.64</v>
      </c>
      <c r="DW148" s="99">
        <f>+DX148*DY148</f>
        <v>69.784530459999999</v>
      </c>
      <c r="DX148" s="99">
        <v>1.560826</v>
      </c>
      <c r="DY148" s="298">
        <v>44.71</v>
      </c>
      <c r="DZ148" s="99">
        <f>+EA148*EB148</f>
        <v>66.436083899999986</v>
      </c>
      <c r="EA148" s="99">
        <v>1.5705929999999999</v>
      </c>
      <c r="EB148" s="298">
        <v>42.3</v>
      </c>
      <c r="EC148" s="99">
        <f>+ED148*EE148</f>
        <v>71.515842929999991</v>
      </c>
      <c r="ED148" s="99">
        <v>1.8436669999999999</v>
      </c>
      <c r="EE148" s="298">
        <v>38.79</v>
      </c>
      <c r="EF148" s="99">
        <f t="shared" ref="EF148:EG152" si="641">+EI148-EC148-DZ148-DW148</f>
        <v>78.119552709999979</v>
      </c>
      <c r="EG148" s="99">
        <f t="shared" si="641"/>
        <v>1.991914</v>
      </c>
      <c r="EH148" s="298">
        <f>+EF148/EG148</f>
        <v>39.218336087802975</v>
      </c>
      <c r="EI148" s="282">
        <f>+EJ148*EK148</f>
        <v>285.85600999999997</v>
      </c>
      <c r="EJ148" s="282">
        <v>6.9669999999999996</v>
      </c>
      <c r="EK148" s="299">
        <v>41.03</v>
      </c>
      <c r="EL148" s="344">
        <v>94.05</v>
      </c>
      <c r="EM148" s="344">
        <v>2.75</v>
      </c>
      <c r="EN148" s="344">
        <v>10.98</v>
      </c>
      <c r="EO148" s="74">
        <v>2.41</v>
      </c>
      <c r="EP148" s="74">
        <v>2.2799999999999998</v>
      </c>
      <c r="EQ148" s="74">
        <v>2.88</v>
      </c>
      <c r="ER148" s="74">
        <v>3.4</v>
      </c>
      <c r="ES148" s="74">
        <v>13.14</v>
      </c>
      <c r="ET148" s="74">
        <v>10.75</v>
      </c>
      <c r="EU148" s="74">
        <v>9.9600000000000009</v>
      </c>
      <c r="EV148" s="74">
        <v>10.08</v>
      </c>
      <c r="EW148" s="74">
        <v>102.98</v>
      </c>
      <c r="EX148" s="74">
        <v>93.29</v>
      </c>
      <c r="EY148" s="74">
        <v>92.17</v>
      </c>
      <c r="EZ148" s="74">
        <v>88.01</v>
      </c>
    </row>
    <row r="149" spans="1:156" ht="27.75" customHeight="1" x14ac:dyDescent="0.3">
      <c r="A149" s="43" t="s">
        <v>62</v>
      </c>
      <c r="B149" s="43" t="s">
        <v>63</v>
      </c>
      <c r="C149" s="53">
        <v>2013</v>
      </c>
      <c r="D149" s="52">
        <v>264.52800000000002</v>
      </c>
      <c r="E149" s="52">
        <v>3.827</v>
      </c>
      <c r="F149" s="52">
        <v>9.2539999999999996</v>
      </c>
      <c r="G149" s="52">
        <f t="shared" si="524"/>
        <v>57.168999999999997</v>
      </c>
      <c r="H149" s="52">
        <f t="shared" si="525"/>
        <v>343.01400000000001</v>
      </c>
      <c r="I149" s="52">
        <v>0</v>
      </c>
      <c r="J149" s="52">
        <v>0</v>
      </c>
      <c r="K149" s="52">
        <v>0</v>
      </c>
      <c r="L149" s="52">
        <f t="shared" si="526"/>
        <v>0</v>
      </c>
      <c r="M149" s="52">
        <f t="shared" si="527"/>
        <v>0</v>
      </c>
      <c r="N149" s="52">
        <f t="shared" si="309"/>
        <v>57.168999999999997</v>
      </c>
      <c r="O149" s="52">
        <f t="shared" si="309"/>
        <v>343.01400000000001</v>
      </c>
      <c r="P149" s="54">
        <f t="shared" si="528"/>
        <v>1</v>
      </c>
      <c r="Q149" s="54">
        <f t="shared" si="572"/>
        <v>0.77118718186429713</v>
      </c>
      <c r="R149" s="54">
        <f t="shared" si="385"/>
        <v>6.6941874092602632E-2</v>
      </c>
      <c r="S149" s="54">
        <f t="shared" si="386"/>
        <v>0.16187094404310029</v>
      </c>
      <c r="T149" s="208">
        <v>22.306000000000001</v>
      </c>
      <c r="U149" s="208">
        <v>167.935</v>
      </c>
      <c r="V149" s="208">
        <v>2868.1619999999998</v>
      </c>
      <c r="W149" s="52">
        <f t="shared" si="606"/>
        <v>4009.6079999999997</v>
      </c>
      <c r="X149" s="52">
        <f t="shared" si="608"/>
        <v>961.55599999999959</v>
      </c>
      <c r="Y149" s="52">
        <f t="shared" si="607"/>
        <v>668.26800000000003</v>
      </c>
      <c r="Z149" s="52">
        <f t="shared" si="609"/>
        <v>160.2593333333333</v>
      </c>
      <c r="AA149" s="205">
        <f t="shared" si="633"/>
        <v>0.31546574664736682</v>
      </c>
      <c r="AB149" s="44"/>
      <c r="AC149" s="45">
        <v>384.82499999999999</v>
      </c>
      <c r="AD149" s="45">
        <v>853.74599999999998</v>
      </c>
      <c r="AE149" s="45">
        <v>0</v>
      </c>
      <c r="AF149" s="45">
        <v>0</v>
      </c>
      <c r="AG149" s="55">
        <f t="shared" si="17"/>
        <v>1238.5709999999999</v>
      </c>
      <c r="AH149" s="45">
        <v>2.9350000000000001</v>
      </c>
      <c r="AI149" s="45">
        <v>10.723000000000001</v>
      </c>
      <c r="AJ149" s="45">
        <v>0</v>
      </c>
      <c r="AK149" s="45">
        <v>0</v>
      </c>
      <c r="AL149" s="55">
        <f t="shared" si="536"/>
        <v>13.658000000000001</v>
      </c>
      <c r="AM149" s="45">
        <v>7.7430000000000003</v>
      </c>
      <c r="AN149" s="45">
        <v>135.81</v>
      </c>
      <c r="AO149" s="45">
        <v>0</v>
      </c>
      <c r="AP149" s="45">
        <v>0</v>
      </c>
      <c r="AQ149" s="55">
        <f t="shared" si="610"/>
        <v>143.553</v>
      </c>
      <c r="AR149" s="55">
        <f t="shared" si="531"/>
        <v>2181.837</v>
      </c>
      <c r="AS149" s="55">
        <f t="shared" si="532"/>
        <v>363.6395</v>
      </c>
      <c r="AT149" s="46">
        <v>137.53800000000001</v>
      </c>
      <c r="AU149" s="46">
        <v>0</v>
      </c>
      <c r="AV149" s="46">
        <f>189.742+60.384+4.025</f>
        <v>254.15099999999998</v>
      </c>
      <c r="AW149" s="46">
        <f>938.668+47.086</f>
        <v>985.75400000000002</v>
      </c>
      <c r="AX149" s="50">
        <f t="shared" ref="AX149:AX159" si="642">SUM(AT149:AW149)</f>
        <v>1377.443</v>
      </c>
      <c r="AY149" s="52">
        <f t="shared" si="611"/>
        <v>4625.375</v>
      </c>
      <c r="AZ149" s="52">
        <f t="shared" si="612"/>
        <v>962.66133333333323</v>
      </c>
      <c r="BA149" s="52">
        <f t="shared" si="613"/>
        <v>5775.9680000000008</v>
      </c>
      <c r="BB149" s="50">
        <f t="shared" si="614"/>
        <v>4.8047790430971924</v>
      </c>
      <c r="BC149" s="50">
        <f t="shared" si="615"/>
        <v>0.80079650718286521</v>
      </c>
      <c r="BD149" s="44" t="s">
        <v>64</v>
      </c>
      <c r="BE149" s="47">
        <f>128.1+256.2</f>
        <v>384.29999999999995</v>
      </c>
      <c r="BF149" s="48">
        <v>0</v>
      </c>
      <c r="BG149" s="48">
        <v>291.2</v>
      </c>
      <c r="BH149" s="47">
        <f t="shared" si="634"/>
        <v>291.2</v>
      </c>
      <c r="BI149" s="48">
        <v>0</v>
      </c>
      <c r="BJ149" s="48">
        <v>-0.34699999999999998</v>
      </c>
      <c r="BK149" s="47">
        <f t="shared" si="635"/>
        <v>-0.34699999999999998</v>
      </c>
      <c r="BL149" s="48">
        <v>0</v>
      </c>
      <c r="BM149" s="48">
        <v>45.24</v>
      </c>
      <c r="BN149" s="47">
        <f t="shared" si="636"/>
        <v>45.24</v>
      </c>
      <c r="BO149" s="48">
        <v>0</v>
      </c>
      <c r="BP149" s="48">
        <v>176.55</v>
      </c>
      <c r="BQ149" s="47">
        <f t="shared" si="637"/>
        <v>176.55</v>
      </c>
      <c r="BR149" s="48">
        <v>1715.6759999999999</v>
      </c>
      <c r="BS149" s="48">
        <v>1715.6759999999999</v>
      </c>
      <c r="BT149" s="202">
        <f t="shared" si="616"/>
        <v>1</v>
      </c>
      <c r="BU149" s="49">
        <f t="shared" si="617"/>
        <v>896.94299999999998</v>
      </c>
      <c r="BV149" s="50">
        <f t="shared" si="618"/>
        <v>15.689324633979954</v>
      </c>
      <c r="BW149" s="50">
        <f t="shared" si="619"/>
        <v>2.614887438996659</v>
      </c>
      <c r="BX149" s="44" t="s">
        <v>65</v>
      </c>
      <c r="BY149" s="91">
        <f t="shared" si="620"/>
        <v>2274.386</v>
      </c>
      <c r="BZ149" s="56">
        <f t="shared" si="621"/>
        <v>227.43860000000001</v>
      </c>
      <c r="CA149" s="141">
        <f t="shared" si="533"/>
        <v>0.16511652387793907</v>
      </c>
      <c r="CB149" s="56">
        <f t="shared" si="622"/>
        <v>3.9783554024034009</v>
      </c>
      <c r="CC149" s="56">
        <f t="shared" si="623"/>
        <v>0.66305923373390008</v>
      </c>
      <c r="CD149" s="56">
        <f t="shared" si="624"/>
        <v>24.09422939005405</v>
      </c>
      <c r="CE149" s="56">
        <f t="shared" si="624"/>
        <v>4.0157048983423413</v>
      </c>
      <c r="CF149" s="56">
        <f t="shared" si="625"/>
        <v>20.494103677077145</v>
      </c>
      <c r="CG149" s="56">
        <f t="shared" si="626"/>
        <v>24.472459079480547</v>
      </c>
      <c r="CH149" s="56">
        <f t="shared" si="627"/>
        <v>44.588333067131195</v>
      </c>
      <c r="CI149" s="56">
        <f t="shared" si="628"/>
        <v>3.4156839461795241</v>
      </c>
      <c r="CJ149" s="38">
        <f t="shared" si="629"/>
        <v>4.0787431799134239</v>
      </c>
      <c r="CK149" s="56">
        <f t="shared" si="630"/>
        <v>7.4313888445218659</v>
      </c>
      <c r="CL149" s="51">
        <v>4</v>
      </c>
      <c r="CM149" s="56">
        <f t="shared" si="638"/>
        <v>2.0494103677077145</v>
      </c>
      <c r="CN149" s="56">
        <f t="shared" si="631"/>
        <v>117.16274131148232</v>
      </c>
      <c r="CO149" s="145">
        <f t="shared" si="632"/>
        <v>8.5058141288955197E-2</v>
      </c>
      <c r="CP149" s="63">
        <v>6.9640000000000004</v>
      </c>
      <c r="CQ149" s="327"/>
      <c r="CS149" s="270">
        <f>+CT149*CU149</f>
        <v>253.67815999999999</v>
      </c>
      <c r="CT149" s="269">
        <v>62.024000000000001</v>
      </c>
      <c r="CU149" s="133">
        <v>4.09</v>
      </c>
      <c r="CV149" s="269">
        <f>+CW149*CX149</f>
        <v>272.68920000000003</v>
      </c>
      <c r="CW149" s="269">
        <v>64.926000000000002</v>
      </c>
      <c r="CX149" s="133">
        <v>4.2</v>
      </c>
      <c r="CY149" s="269">
        <f>+CZ149*DA149</f>
        <v>263.93700000000001</v>
      </c>
      <c r="CZ149" s="269">
        <v>68.025000000000006</v>
      </c>
      <c r="DA149" s="133">
        <v>3.88</v>
      </c>
      <c r="DB149" s="269">
        <f t="shared" si="639"/>
        <v>275.31664000000012</v>
      </c>
      <c r="DC149" s="269">
        <f t="shared" si="639"/>
        <v>69.553000000000026</v>
      </c>
      <c r="DD149" s="133">
        <f>+DB149/DC149</f>
        <v>3.9583718890630171</v>
      </c>
      <c r="DE149" s="274">
        <v>1065.6210000000001</v>
      </c>
      <c r="DF149" s="274">
        <v>264.52800000000002</v>
      </c>
      <c r="DG149" s="273">
        <v>4</v>
      </c>
      <c r="DH149" s="272">
        <f>+DI149*DJ149</f>
        <v>77.996094519999986</v>
      </c>
      <c r="DI149" s="272">
        <v>0.91266199999999997</v>
      </c>
      <c r="DJ149" s="296">
        <v>85.46</v>
      </c>
      <c r="DK149" s="272">
        <f>+DL149*DM149</f>
        <v>73.561751529999995</v>
      </c>
      <c r="DL149" s="272">
        <v>0.86451699999999998</v>
      </c>
      <c r="DM149" s="296">
        <v>85.09</v>
      </c>
      <c r="DN149" s="272">
        <f>+DO149*DP149</f>
        <v>86.999390980000001</v>
      </c>
      <c r="DO149" s="272">
        <v>1.0180130000000001</v>
      </c>
      <c r="DP149" s="296">
        <v>85.46</v>
      </c>
      <c r="DQ149" s="272">
        <f t="shared" si="640"/>
        <v>85.589662970000063</v>
      </c>
      <c r="DR149" s="272">
        <f t="shared" si="640"/>
        <v>1.0318080000000003</v>
      </c>
      <c r="DS149" s="296">
        <f>+DQ149/DR149</f>
        <v>82.951152704766812</v>
      </c>
      <c r="DT149" s="277">
        <f>+DU149*DV149</f>
        <v>324.14690000000002</v>
      </c>
      <c r="DU149" s="277">
        <v>3.827</v>
      </c>
      <c r="DV149" s="297">
        <v>84.7</v>
      </c>
      <c r="DW149" s="99">
        <f>+DX149*DY149</f>
        <v>63.503540639999997</v>
      </c>
      <c r="DX149" s="99">
        <v>1.889424</v>
      </c>
      <c r="DY149" s="298">
        <v>33.61</v>
      </c>
      <c r="DZ149" s="99">
        <f>+EA149*EB149</f>
        <v>69.620742989999997</v>
      </c>
      <c r="EA149" s="99">
        <v>2.1154890000000002</v>
      </c>
      <c r="EB149" s="298">
        <v>32.909999999999997</v>
      </c>
      <c r="EC149" s="99">
        <f>+ED149*EE149</f>
        <v>73.4215272</v>
      </c>
      <c r="ED149" s="99">
        <v>2.3623400000000001</v>
      </c>
      <c r="EE149" s="298">
        <v>31.08</v>
      </c>
      <c r="EF149" s="99">
        <f t="shared" si="641"/>
        <v>63.475239170000052</v>
      </c>
      <c r="EG149" s="99">
        <f t="shared" si="641"/>
        <v>1.887747000000001</v>
      </c>
      <c r="EH149" s="298">
        <f>+EF149/EG149</f>
        <v>33.624865604342119</v>
      </c>
      <c r="EI149" s="282">
        <f>+EJ149*EK149</f>
        <v>270.02105000000006</v>
      </c>
      <c r="EJ149" s="282">
        <v>8.2550000000000008</v>
      </c>
      <c r="EK149" s="299">
        <v>32.71</v>
      </c>
      <c r="EL149" s="344">
        <v>97.98</v>
      </c>
      <c r="EM149" s="344">
        <v>3.73</v>
      </c>
      <c r="EN149" s="344">
        <v>9.94</v>
      </c>
      <c r="EO149" s="74">
        <v>3.49</v>
      </c>
      <c r="EP149" s="74">
        <v>4.01</v>
      </c>
      <c r="EQ149" s="74">
        <v>3.56</v>
      </c>
      <c r="ER149" s="74">
        <v>3.85</v>
      </c>
      <c r="ES149" s="74">
        <v>9.77</v>
      </c>
      <c r="ET149" s="74">
        <v>9.39</v>
      </c>
      <c r="EU149" s="74">
        <v>10.01</v>
      </c>
      <c r="EV149" s="74">
        <v>10.53</v>
      </c>
      <c r="EW149" s="74">
        <v>94.33</v>
      </c>
      <c r="EX149" s="74">
        <v>94.05</v>
      </c>
      <c r="EY149" s="74">
        <v>105.83</v>
      </c>
      <c r="EZ149" s="74">
        <v>97.44</v>
      </c>
    </row>
    <row r="150" spans="1:156" ht="27.75" customHeight="1" x14ac:dyDescent="0.3">
      <c r="A150" s="43" t="s">
        <v>62</v>
      </c>
      <c r="B150" s="43" t="s">
        <v>63</v>
      </c>
      <c r="C150" s="53">
        <v>2014</v>
      </c>
      <c r="D150" s="52">
        <v>286.92599999999999</v>
      </c>
      <c r="E150" s="52">
        <v>4.07</v>
      </c>
      <c r="F150" s="52">
        <v>18.821000000000002</v>
      </c>
      <c r="G150" s="52">
        <f t="shared" si="524"/>
        <v>70.712000000000003</v>
      </c>
      <c r="H150" s="52">
        <f t="shared" si="525"/>
        <v>424.27200000000005</v>
      </c>
      <c r="I150" s="52">
        <v>0</v>
      </c>
      <c r="J150" s="52">
        <v>0</v>
      </c>
      <c r="K150" s="52">
        <v>0</v>
      </c>
      <c r="L150" s="52">
        <f t="shared" si="526"/>
        <v>0</v>
      </c>
      <c r="M150" s="52">
        <f t="shared" si="527"/>
        <v>0</v>
      </c>
      <c r="N150" s="52">
        <f t="shared" si="309"/>
        <v>70.712000000000003</v>
      </c>
      <c r="O150" s="52">
        <f t="shared" si="309"/>
        <v>424.27200000000005</v>
      </c>
      <c r="P150" s="54">
        <f t="shared" si="528"/>
        <v>1</v>
      </c>
      <c r="Q150" s="54">
        <f>D150/H150</f>
        <v>0.67627842516121728</v>
      </c>
      <c r="R150" s="54">
        <f t="shared" si="385"/>
        <v>5.7557415997284762E-2</v>
      </c>
      <c r="S150" s="54">
        <f t="shared" si="386"/>
        <v>0.26616415884149791</v>
      </c>
      <c r="T150" s="208">
        <v>24.478000000000002</v>
      </c>
      <c r="U150" s="208">
        <v>245.636</v>
      </c>
      <c r="V150" s="208">
        <v>3339.7849999999999</v>
      </c>
      <c r="W150" s="52">
        <f t="shared" si="606"/>
        <v>4960.4690000000001</v>
      </c>
      <c r="X150" s="52">
        <f t="shared" si="608"/>
        <v>950.86100000000033</v>
      </c>
      <c r="Y150" s="52">
        <f t="shared" si="607"/>
        <v>826.74483333333319</v>
      </c>
      <c r="Z150" s="52">
        <f t="shared" si="609"/>
        <v>158.47683333333316</v>
      </c>
      <c r="AA150" s="205">
        <f t="shared" si="633"/>
        <v>0.23714562620585328</v>
      </c>
      <c r="AB150" s="44"/>
      <c r="AC150" s="45">
        <v>-30.565999999999999</v>
      </c>
      <c r="AD150" s="45">
        <v>1393.1079999999999</v>
      </c>
      <c r="AE150" s="45">
        <v>262.81299999999999</v>
      </c>
      <c r="AF150" s="45">
        <v>0</v>
      </c>
      <c r="AG150" s="55">
        <f>SUM(AC150:AF150)</f>
        <v>1625.355</v>
      </c>
      <c r="AH150" s="45">
        <v>515</v>
      </c>
      <c r="AI150" s="45">
        <v>12.936</v>
      </c>
      <c r="AJ150" s="45">
        <v>0</v>
      </c>
      <c r="AK150" s="45">
        <v>0</v>
      </c>
      <c r="AL150" s="55">
        <f>SUM(AH150:AK150)</f>
        <v>527.93600000000004</v>
      </c>
      <c r="AM150" s="45">
        <v>19.716000000000001</v>
      </c>
      <c r="AN150" s="45">
        <v>154.66399999999999</v>
      </c>
      <c r="AO150" s="45">
        <v>0</v>
      </c>
      <c r="AP150" s="45">
        <v>0</v>
      </c>
      <c r="AQ150" s="55">
        <f>SUM(AM150:AP150)</f>
        <v>174.38</v>
      </c>
      <c r="AR150" s="55">
        <f t="shared" si="531"/>
        <v>5839.2509999999993</v>
      </c>
      <c r="AS150" s="55">
        <f t="shared" si="532"/>
        <v>973.20850000000007</v>
      </c>
      <c r="AT150" s="46">
        <f>404.252+226.475</f>
        <v>630.72699999999998</v>
      </c>
      <c r="AU150" s="46">
        <v>0</v>
      </c>
      <c r="AV150" s="46">
        <f>180.925+58.979+4.569</f>
        <v>244.47299999999998</v>
      </c>
      <c r="AW150" s="46">
        <f>1119.896+13.137</f>
        <v>1133.0329999999999</v>
      </c>
      <c r="AX150" s="50">
        <f t="shared" si="642"/>
        <v>2008.2329999999997</v>
      </c>
      <c r="AY150" s="52">
        <f t="shared" si="611"/>
        <v>5044.3059999999996</v>
      </c>
      <c r="AZ150" s="52">
        <f t="shared" si="612"/>
        <v>1649.5536666666667</v>
      </c>
      <c r="BA150" s="52">
        <f t="shared" si="613"/>
        <v>9897.3220000000001</v>
      </c>
      <c r="BB150" s="50">
        <f t="shared" si="614"/>
        <v>3.0579823511855024</v>
      </c>
      <c r="BC150" s="50">
        <f t="shared" si="615"/>
        <v>0.50966372519758374</v>
      </c>
      <c r="BD150" s="44"/>
      <c r="BE150" s="47">
        <f>150.5+325.3</f>
        <v>475.8</v>
      </c>
      <c r="BF150" s="48">
        <v>0</v>
      </c>
      <c r="BG150" s="48">
        <v>213.4</v>
      </c>
      <c r="BH150" s="47">
        <f t="shared" si="634"/>
        <v>213.4</v>
      </c>
      <c r="BI150" s="48">
        <v>0</v>
      </c>
      <c r="BJ150" s="48">
        <v>-0.156</v>
      </c>
      <c r="BK150" s="47">
        <f t="shared" si="635"/>
        <v>-0.156</v>
      </c>
      <c r="BL150" s="48">
        <v>0</v>
      </c>
      <c r="BM150" s="199">
        <v>44.555</v>
      </c>
      <c r="BN150" s="47">
        <f t="shared" si="636"/>
        <v>44.555</v>
      </c>
      <c r="BO150" s="48">
        <v>0</v>
      </c>
      <c r="BP150" s="48">
        <v>167.977</v>
      </c>
      <c r="BQ150" s="47">
        <f t="shared" si="637"/>
        <v>167.977</v>
      </c>
      <c r="BR150" s="48">
        <v>1911.989</v>
      </c>
      <c r="BS150" s="48">
        <v>1911.989</v>
      </c>
      <c r="BT150" s="202">
        <f t="shared" si="616"/>
        <v>1</v>
      </c>
      <c r="BU150" s="49">
        <f t="shared" si="617"/>
        <v>901.57600000000002</v>
      </c>
      <c r="BV150" s="50">
        <f t="shared" si="618"/>
        <v>12.749971716257495</v>
      </c>
      <c r="BW150" s="50">
        <f t="shared" si="619"/>
        <v>2.1249952860429158</v>
      </c>
      <c r="BX150" s="44"/>
      <c r="BY150" s="91">
        <f t="shared" si="620"/>
        <v>2909.8089999999997</v>
      </c>
      <c r="BZ150" s="56">
        <f t="shared" si="621"/>
        <v>290.98089999999996</v>
      </c>
      <c r="CA150" s="141">
        <f t="shared" si="533"/>
        <v>0.14489399387421678</v>
      </c>
      <c r="CB150" s="56">
        <f t="shared" si="622"/>
        <v>4.1150144247086766</v>
      </c>
      <c r="CC150" s="56">
        <f t="shared" si="623"/>
        <v>0.6858357374514461</v>
      </c>
      <c r="CD150" s="56">
        <f t="shared" si="624"/>
        <v>28.400172530829273</v>
      </c>
      <c r="CE150" s="56">
        <f t="shared" si="624"/>
        <v>4.7333620884715453</v>
      </c>
      <c r="CF150" s="56">
        <f t="shared" si="625"/>
        <v>15.807954067442997</v>
      </c>
      <c r="CG150" s="56">
        <f t="shared" si="626"/>
        <v>19.922968492151675</v>
      </c>
      <c r="CH150" s="56">
        <f t="shared" si="627"/>
        <v>44.208126598272273</v>
      </c>
      <c r="CI150" s="56">
        <f t="shared" si="628"/>
        <v>2.6346590112404993</v>
      </c>
      <c r="CJ150" s="56">
        <f t="shared" si="629"/>
        <v>3.3204947486919454</v>
      </c>
      <c r="CK150" s="56">
        <f t="shared" si="630"/>
        <v>7.3680210997120446</v>
      </c>
      <c r="CL150" s="51">
        <v>4</v>
      </c>
      <c r="CM150" s="56">
        <f t="shared" si="638"/>
        <v>1.5807954067442997</v>
      </c>
      <c r="CN150" s="56">
        <f t="shared" si="631"/>
        <v>111.78120480170293</v>
      </c>
      <c r="CO150" s="173">
        <f t="shared" si="632"/>
        <v>5.566147195156286E-2</v>
      </c>
      <c r="CP150" s="174">
        <v>2.996</v>
      </c>
      <c r="CQ150" s="328"/>
      <c r="CR150" s="82"/>
      <c r="CS150" s="270">
        <f>+CT150*CU150</f>
        <v>260.47559999999999</v>
      </c>
      <c r="CT150" s="269">
        <v>62.018000000000001</v>
      </c>
      <c r="CU150" s="133">
        <v>4.2</v>
      </c>
      <c r="CV150" s="269">
        <f>+CW150*CX150</f>
        <v>262.91656</v>
      </c>
      <c r="CW150" s="269">
        <v>67.762</v>
      </c>
      <c r="CX150" s="133">
        <v>3.88</v>
      </c>
      <c r="CY150" s="269">
        <f>+CZ150*DA150</f>
        <v>274.66395</v>
      </c>
      <c r="CZ150" s="269">
        <v>75.665000000000006</v>
      </c>
      <c r="DA150" s="133">
        <v>3.63</v>
      </c>
      <c r="DB150" s="269">
        <f t="shared" si="639"/>
        <v>347.61888999999996</v>
      </c>
      <c r="DC150" s="269">
        <f t="shared" si="639"/>
        <v>81.48099999999998</v>
      </c>
      <c r="DD150" s="133">
        <f>+DB150/DC150</f>
        <v>4.2662570415188821</v>
      </c>
      <c r="DE150" s="274">
        <v>1145.675</v>
      </c>
      <c r="DF150" s="274">
        <v>286.92599999999999</v>
      </c>
      <c r="DG150" s="273">
        <v>3.79</v>
      </c>
      <c r="DH150" s="272">
        <f>+DI150*DJ150</f>
        <v>84.912944350000004</v>
      </c>
      <c r="DI150" s="272">
        <v>1.035145</v>
      </c>
      <c r="DJ150" s="296">
        <v>82.03</v>
      </c>
      <c r="DK150" s="272">
        <f>+DL150*DM150</f>
        <v>79.792173669999997</v>
      </c>
      <c r="DL150" s="272">
        <v>0.98960899999999996</v>
      </c>
      <c r="DM150" s="296">
        <v>80.63</v>
      </c>
      <c r="DN150" s="272">
        <f>+DO150*DP150</f>
        <v>77.503698</v>
      </c>
      <c r="DO150" s="272">
        <v>0.98529999999999995</v>
      </c>
      <c r="DP150" s="296">
        <v>78.66</v>
      </c>
      <c r="DQ150" s="272">
        <f t="shared" si="640"/>
        <v>82.373683980000038</v>
      </c>
      <c r="DR150" s="272">
        <f t="shared" si="640"/>
        <v>1.0599460000000001</v>
      </c>
      <c r="DS150" s="296">
        <f>+DQ150/DR150</f>
        <v>77.714981687746388</v>
      </c>
      <c r="DT150" s="277">
        <f>+DU150*DV150</f>
        <v>324.58250000000004</v>
      </c>
      <c r="DU150" s="277">
        <v>4.07</v>
      </c>
      <c r="DV150" s="297">
        <v>79.75</v>
      </c>
      <c r="DW150" s="99">
        <f>+DX150*DY150</f>
        <v>113.35204335</v>
      </c>
      <c r="DX150" s="99">
        <v>4.4714809999999998</v>
      </c>
      <c r="DY150" s="298">
        <v>25.35</v>
      </c>
      <c r="DZ150" s="99">
        <f>+EA150*EB150</f>
        <v>108.82058636000001</v>
      </c>
      <c r="EA150" s="99">
        <v>4.4708540000000001</v>
      </c>
      <c r="EB150" s="298">
        <v>24.34</v>
      </c>
      <c r="EC150" s="99">
        <f>+ED150*EE150</f>
        <v>111.18289146000001</v>
      </c>
      <c r="ED150" s="99">
        <v>4.934882</v>
      </c>
      <c r="EE150" s="298">
        <v>22.53</v>
      </c>
      <c r="EF150" s="99">
        <f t="shared" si="641"/>
        <v>124.18298883000003</v>
      </c>
      <c r="EG150" s="99">
        <f t="shared" si="641"/>
        <v>4.9437830000000007</v>
      </c>
      <c r="EH150" s="298">
        <f>+EF150/EG150</f>
        <v>25.119020966332869</v>
      </c>
      <c r="EI150" s="282">
        <f>+EJ150*EK150</f>
        <v>457.53851000000003</v>
      </c>
      <c r="EJ150" s="282">
        <v>18.821000000000002</v>
      </c>
      <c r="EK150" s="299">
        <v>24.31</v>
      </c>
      <c r="EL150" s="344">
        <v>93.17</v>
      </c>
      <c r="EM150" s="344">
        <v>4.37</v>
      </c>
      <c r="EN150" s="344">
        <v>9.56</v>
      </c>
      <c r="EO150" s="74">
        <v>5.21</v>
      </c>
      <c r="EP150" s="74">
        <v>4.6100000000000003</v>
      </c>
      <c r="EQ150" s="74">
        <v>3.96</v>
      </c>
      <c r="ER150" s="74">
        <v>3.8</v>
      </c>
      <c r="ES150" s="74">
        <v>11.19</v>
      </c>
      <c r="ET150" s="74">
        <v>10.15</v>
      </c>
      <c r="EU150" s="74">
        <v>9.83</v>
      </c>
      <c r="EV150" s="74">
        <v>7.41</v>
      </c>
      <c r="EW150" s="74">
        <v>98.68</v>
      </c>
      <c r="EX150" s="74">
        <v>103.35</v>
      </c>
      <c r="EY150" s="74">
        <v>97.87</v>
      </c>
      <c r="EZ150" s="74">
        <v>73.209999999999994</v>
      </c>
    </row>
    <row r="151" spans="1:156" ht="27.75" customHeight="1" x14ac:dyDescent="0.3">
      <c r="A151" s="43" t="s">
        <v>62</v>
      </c>
      <c r="B151" s="43" t="s">
        <v>63</v>
      </c>
      <c r="C151" s="53">
        <v>2015</v>
      </c>
      <c r="D151" s="52">
        <v>362.68700000000001</v>
      </c>
      <c r="E151" s="52">
        <v>4.0839999999999996</v>
      </c>
      <c r="F151" s="52">
        <v>20.356000000000002</v>
      </c>
      <c r="G151" s="52">
        <f t="shared" si="524"/>
        <v>84.887833333333333</v>
      </c>
      <c r="H151" s="52">
        <f t="shared" si="525"/>
        <v>509.32700000000006</v>
      </c>
      <c r="I151" s="52">
        <v>0</v>
      </c>
      <c r="J151" s="52">
        <v>0</v>
      </c>
      <c r="K151" s="52">
        <v>0</v>
      </c>
      <c r="L151" s="52">
        <f t="shared" si="526"/>
        <v>0</v>
      </c>
      <c r="M151" s="52">
        <f t="shared" si="527"/>
        <v>0</v>
      </c>
      <c r="N151" s="52">
        <f t="shared" si="309"/>
        <v>84.887833333333333</v>
      </c>
      <c r="O151" s="52">
        <f t="shared" si="309"/>
        <v>509.32700000000006</v>
      </c>
      <c r="P151" s="54">
        <f t="shared" si="528"/>
        <v>1</v>
      </c>
      <c r="Q151" s="54">
        <f>D151/H151</f>
        <v>0.71209066081319072</v>
      </c>
      <c r="R151" s="54">
        <f t="shared" si="385"/>
        <v>4.8110545877206583E-2</v>
      </c>
      <c r="S151" s="54">
        <f t="shared" si="386"/>
        <v>0.23979879330960269</v>
      </c>
      <c r="T151" s="208">
        <v>21.513999999999999</v>
      </c>
      <c r="U151" s="208">
        <v>239.828</v>
      </c>
      <c r="V151" s="208">
        <v>2901.5329999999999</v>
      </c>
      <c r="W151" s="52">
        <f>+T151*6+U151*6+V151</f>
        <v>4469.585</v>
      </c>
      <c r="X151" s="52">
        <f t="shared" si="608"/>
        <v>-490.88400000000001</v>
      </c>
      <c r="Y151" s="52">
        <f>+T151+U151+V151/6</f>
        <v>744.93083333333334</v>
      </c>
      <c r="Z151" s="52">
        <f t="shared" si="609"/>
        <v>-81.813999999999851</v>
      </c>
      <c r="AA151" s="205">
        <f t="shared" si="633"/>
        <v>-9.8959191157126314E-2</v>
      </c>
      <c r="AB151" s="44"/>
      <c r="AC151" s="45">
        <v>-340.286</v>
      </c>
      <c r="AD151" s="45">
        <v>1017.956</v>
      </c>
      <c r="AE151" s="45">
        <v>0</v>
      </c>
      <c r="AF151" s="45">
        <v>0</v>
      </c>
      <c r="AG151" s="55">
        <f>SUM(AC151:AF151)</f>
        <v>677.67000000000007</v>
      </c>
      <c r="AH151" s="45">
        <v>3.8039999999999998</v>
      </c>
      <c r="AI151" s="45">
        <v>4.9240000000000004</v>
      </c>
      <c r="AJ151" s="45">
        <v>0</v>
      </c>
      <c r="AK151" s="45">
        <v>0</v>
      </c>
      <c r="AL151" s="55">
        <f>SUM(AH151:AK151)</f>
        <v>8.7279999999999998</v>
      </c>
      <c r="AM151" s="45">
        <v>17.716999999999999</v>
      </c>
      <c r="AN151" s="45">
        <v>36.308</v>
      </c>
      <c r="AO151" s="45">
        <v>0</v>
      </c>
      <c r="AP151" s="45">
        <v>0</v>
      </c>
      <c r="AQ151" s="55">
        <f>SUM(AM151:AP151)</f>
        <v>54.024999999999999</v>
      </c>
      <c r="AR151" s="55">
        <f t="shared" si="531"/>
        <v>1054.1880000000001</v>
      </c>
      <c r="AS151" s="55">
        <f t="shared" si="532"/>
        <v>175.69800000000001</v>
      </c>
      <c r="AT151" s="46">
        <f>73.025</f>
        <v>73.025000000000006</v>
      </c>
      <c r="AU151" s="46">
        <v>0</v>
      </c>
      <c r="AV151" s="46">
        <f>87.505+18.421+2.985</f>
        <v>108.91099999999999</v>
      </c>
      <c r="AW151" s="46">
        <f>708.268+13.337</f>
        <v>721.60500000000002</v>
      </c>
      <c r="AX151" s="50">
        <f t="shared" si="642"/>
        <v>903.54099999999994</v>
      </c>
      <c r="AY151" s="52">
        <f>SUM(AX149:AX151)</f>
        <v>4289.2169999999996</v>
      </c>
      <c r="AZ151" s="52">
        <f t="shared" si="612"/>
        <v>1512.546</v>
      </c>
      <c r="BA151" s="52">
        <f t="shared" si="613"/>
        <v>9075.2759999999998</v>
      </c>
      <c r="BB151" s="50">
        <f>AY151/AZ151</f>
        <v>2.8357597058205171</v>
      </c>
      <c r="BC151" s="50">
        <f>AY151/BA151</f>
        <v>0.47262661763675284</v>
      </c>
      <c r="BD151" s="44"/>
      <c r="BE151" s="47">
        <f>136.363+396.739</f>
        <v>533.10199999999998</v>
      </c>
      <c r="BF151" s="48">
        <v>0</v>
      </c>
      <c r="BG151" s="48">
        <v>194.01499999999999</v>
      </c>
      <c r="BH151" s="47">
        <f t="shared" si="634"/>
        <v>194.01499999999999</v>
      </c>
      <c r="BI151" s="48">
        <v>0</v>
      </c>
      <c r="BJ151" s="48">
        <v>0.1</v>
      </c>
      <c r="BK151" s="47">
        <f t="shared" si="635"/>
        <v>0.1</v>
      </c>
      <c r="BL151" s="48">
        <v>0</v>
      </c>
      <c r="BM151" s="48">
        <v>33.86</v>
      </c>
      <c r="BN151" s="47">
        <f t="shared" si="636"/>
        <v>33.86</v>
      </c>
      <c r="BO151" s="48">
        <v>0</v>
      </c>
      <c r="BP151" s="48">
        <v>166.43899999999999</v>
      </c>
      <c r="BQ151" s="47">
        <f t="shared" si="637"/>
        <v>166.43899999999999</v>
      </c>
      <c r="BR151" s="48">
        <v>1089.644</v>
      </c>
      <c r="BS151" s="48">
        <v>1089.644</v>
      </c>
      <c r="BT151" s="202">
        <f t="shared" si="616"/>
        <v>1</v>
      </c>
      <c r="BU151" s="49">
        <f t="shared" si="617"/>
        <v>927.51599999999996</v>
      </c>
      <c r="BV151" s="50">
        <f t="shared" si="618"/>
        <v>10.926371466660907</v>
      </c>
      <c r="BW151" s="50">
        <f t="shared" si="619"/>
        <v>1.8210619111101509</v>
      </c>
      <c r="BX151" s="44"/>
      <c r="BY151" s="91">
        <f t="shared" si="620"/>
        <v>1831.0569999999998</v>
      </c>
      <c r="BZ151" s="56">
        <f t="shared" si="621"/>
        <v>183.10569999999998</v>
      </c>
      <c r="CA151" s="141">
        <f t="shared" si="533"/>
        <v>0.2026534490410507</v>
      </c>
      <c r="CB151" s="56">
        <f t="shared" si="622"/>
        <v>2.1570311410940319</v>
      </c>
      <c r="CC151" s="56">
        <f t="shared" si="623"/>
        <v>0.35950519018233856</v>
      </c>
      <c r="CD151" s="56">
        <f t="shared" si="624"/>
        <v>10.643939944279412</v>
      </c>
      <c r="CE151" s="56">
        <f t="shared" si="624"/>
        <v>1.773989990713235</v>
      </c>
      <c r="CF151" s="56">
        <f t="shared" si="625"/>
        <v>13.762131172481425</v>
      </c>
      <c r="CG151" s="56">
        <f t="shared" si="626"/>
        <v>15.919162313575457</v>
      </c>
      <c r="CH151" s="56">
        <f t="shared" si="627"/>
        <v>24.406071116760835</v>
      </c>
      <c r="CI151" s="56">
        <f t="shared" si="628"/>
        <v>2.2936885287469035</v>
      </c>
      <c r="CJ151" s="56">
        <f t="shared" si="629"/>
        <v>2.6531937189292423</v>
      </c>
      <c r="CK151" s="56">
        <f t="shared" si="630"/>
        <v>4.0676785194601388</v>
      </c>
      <c r="CL151" s="51">
        <v>4</v>
      </c>
      <c r="CM151" s="56">
        <f t="shared" si="638"/>
        <v>1.3762131172481424</v>
      </c>
      <c r="CN151" s="56">
        <f t="shared" si="631"/>
        <v>116.82374972810744</v>
      </c>
      <c r="CO151" s="173">
        <f t="shared" si="632"/>
        <v>0.12929546055807922</v>
      </c>
      <c r="CP151" s="174">
        <v>4.1609999999999996</v>
      </c>
      <c r="CQ151" s="328"/>
      <c r="CR151" s="82"/>
      <c r="CS151" s="270">
        <f>+CT151*CU151</f>
        <v>284.97012744</v>
      </c>
      <c r="CT151" s="269">
        <v>80.500035999999994</v>
      </c>
      <c r="CU151" s="133">
        <v>3.54</v>
      </c>
      <c r="CV151" s="269">
        <f>+CW151*CX151</f>
        <v>258.82512350000002</v>
      </c>
      <c r="CW151" s="269">
        <v>87.73733</v>
      </c>
      <c r="CX151" s="133">
        <v>2.95</v>
      </c>
      <c r="CY151" s="269">
        <f>+CZ151*DA151</f>
        <v>269.44825703000004</v>
      </c>
      <c r="CZ151" s="269">
        <v>97.273739000000006</v>
      </c>
      <c r="DA151" s="133">
        <v>2.77</v>
      </c>
      <c r="DB151" s="269">
        <f t="shared" si="639"/>
        <v>300.20558203000007</v>
      </c>
      <c r="DC151" s="269">
        <f t="shared" si="639"/>
        <v>97.175894999999997</v>
      </c>
      <c r="DD151" s="133">
        <f>+DB151/DC151</f>
        <v>3.0893009221062497</v>
      </c>
      <c r="DE151" s="274">
        <f>+DF151*DG151</f>
        <v>1113.4490900000001</v>
      </c>
      <c r="DF151" s="274">
        <v>362.68700000000001</v>
      </c>
      <c r="DG151" s="273">
        <v>3.07</v>
      </c>
      <c r="DH151" s="272">
        <f>+DI151*DJ151</f>
        <v>72.961777600000005</v>
      </c>
      <c r="DI151" s="272">
        <v>1.13896</v>
      </c>
      <c r="DJ151" s="296">
        <v>64.06</v>
      </c>
      <c r="DK151" s="272">
        <f>+DL151*DM151</f>
        <v>73.644589199999999</v>
      </c>
      <c r="DL151" s="272">
        <v>1.0894170000000001</v>
      </c>
      <c r="DM151" s="296">
        <v>67.599999999999994</v>
      </c>
      <c r="DN151" s="272">
        <f>+DO151*DP151</f>
        <v>73.095385000000007</v>
      </c>
      <c r="DO151" s="272">
        <v>0.95862800000000004</v>
      </c>
      <c r="DP151" s="296">
        <v>76.25</v>
      </c>
      <c r="DQ151" s="272">
        <f t="shared" si="640"/>
        <v>71.405768199999955</v>
      </c>
      <c r="DR151" s="272">
        <f t="shared" si="640"/>
        <v>0.89699499999999954</v>
      </c>
      <c r="DS151" s="296">
        <f>+DQ151/DR151</f>
        <v>79.605536485710616</v>
      </c>
      <c r="DT151" s="277">
        <f>+DU151*DV151</f>
        <v>291.10751999999997</v>
      </c>
      <c r="DU151" s="277">
        <v>4.0839999999999996</v>
      </c>
      <c r="DV151" s="297">
        <v>71.28</v>
      </c>
      <c r="DW151" s="99">
        <f>+DX151*DY151</f>
        <v>65.383167200000003</v>
      </c>
      <c r="DX151" s="99">
        <v>5.3592760000000004</v>
      </c>
      <c r="DY151" s="298">
        <v>12.2</v>
      </c>
      <c r="DZ151" s="99">
        <f>+EA151*EB151</f>
        <v>50.89811619000001</v>
      </c>
      <c r="EA151" s="99">
        <v>5.1051270000000004</v>
      </c>
      <c r="EB151" s="298">
        <v>9.9700000000000006</v>
      </c>
      <c r="EC151" s="99">
        <f>+ED151*EE151</f>
        <v>47.109119399999997</v>
      </c>
      <c r="ED151" s="99">
        <v>4.9850919999999999</v>
      </c>
      <c r="EE151" s="298">
        <v>9.4499999999999993</v>
      </c>
      <c r="EF151" s="99">
        <f t="shared" si="641"/>
        <v>55.029477210000024</v>
      </c>
      <c r="EG151" s="99">
        <f t="shared" si="641"/>
        <v>4.9065050000000001</v>
      </c>
      <c r="EH151" s="298">
        <f>+EF151/EG151</f>
        <v>11.215616250263686</v>
      </c>
      <c r="EI151" s="300">
        <f>+EJ151*EK151</f>
        <v>218.41988000000003</v>
      </c>
      <c r="EJ151" s="300">
        <v>20.356000000000002</v>
      </c>
      <c r="EK151" s="301">
        <v>10.73</v>
      </c>
      <c r="EL151" s="344">
        <v>48.66</v>
      </c>
      <c r="EM151" s="344">
        <v>2.62</v>
      </c>
      <c r="EN151" s="344">
        <v>4.97</v>
      </c>
      <c r="EO151" s="331">
        <v>2.9</v>
      </c>
      <c r="EP151" s="331">
        <v>2.75</v>
      </c>
      <c r="EQ151" s="331">
        <v>2.76</v>
      </c>
      <c r="ER151" s="331">
        <v>2.12</v>
      </c>
      <c r="ES151" s="331">
        <v>5.43</v>
      </c>
      <c r="ET151" s="331">
        <v>5.2</v>
      </c>
      <c r="EU151" s="331">
        <v>4.68</v>
      </c>
      <c r="EV151" s="331">
        <v>4.5999999999999996</v>
      </c>
      <c r="EW151" s="331">
        <v>48.49</v>
      </c>
      <c r="EX151" s="331">
        <v>57.85</v>
      </c>
      <c r="EY151" s="331">
        <v>46.64</v>
      </c>
      <c r="EZ151" s="331">
        <v>41.94</v>
      </c>
    </row>
    <row r="152" spans="1:156" ht="27.75" customHeight="1" x14ac:dyDescent="0.3">
      <c r="A152" s="228" t="s">
        <v>62</v>
      </c>
      <c r="B152" s="228" t="s">
        <v>63</v>
      </c>
      <c r="C152" s="229">
        <v>2016</v>
      </c>
      <c r="D152" s="216">
        <v>375.81099999999998</v>
      </c>
      <c r="E152" s="216">
        <v>3.609</v>
      </c>
      <c r="F152" s="216">
        <v>27.826000000000001</v>
      </c>
      <c r="G152" s="216">
        <f t="shared" si="524"/>
        <v>94.070166666666665</v>
      </c>
      <c r="H152" s="216">
        <f t="shared" si="525"/>
        <v>564.42100000000005</v>
      </c>
      <c r="I152" s="216">
        <v>0</v>
      </c>
      <c r="J152" s="216">
        <v>0</v>
      </c>
      <c r="K152" s="216">
        <v>0</v>
      </c>
      <c r="L152" s="216">
        <f t="shared" si="526"/>
        <v>0</v>
      </c>
      <c r="M152" s="216">
        <f t="shared" si="527"/>
        <v>0</v>
      </c>
      <c r="N152" s="216">
        <f t="shared" si="309"/>
        <v>94.070166666666665</v>
      </c>
      <c r="O152" s="216">
        <f t="shared" si="309"/>
        <v>564.42100000000005</v>
      </c>
      <c r="P152" s="302">
        <f t="shared" si="528"/>
        <v>1</v>
      </c>
      <c r="Q152" s="302">
        <f>D152/H152</f>
        <v>0.66583454548997989</v>
      </c>
      <c r="R152" s="302">
        <f t="shared" si="385"/>
        <v>3.8364979332802994E-2</v>
      </c>
      <c r="S152" s="302">
        <f t="shared" si="386"/>
        <v>0.29580047517721703</v>
      </c>
      <c r="T152" s="209">
        <v>31.143000000000001</v>
      </c>
      <c r="U152" s="209">
        <v>266.214</v>
      </c>
      <c r="V152" s="209">
        <v>3518.2750000000001</v>
      </c>
      <c r="W152" s="52">
        <f>+T152*6+U152*6+V152</f>
        <v>5302.4170000000004</v>
      </c>
      <c r="X152" s="52">
        <f>W152-W151</f>
        <v>832.83200000000033</v>
      </c>
      <c r="Y152" s="52">
        <f>+T152+U152+V152/6</f>
        <v>883.73616666666669</v>
      </c>
      <c r="Z152" s="52">
        <f>Y152-Y151</f>
        <v>138.80533333333335</v>
      </c>
      <c r="AA152" s="205">
        <f>+Z152/Y151</f>
        <v>0.1863331830583824</v>
      </c>
      <c r="AB152" s="230"/>
      <c r="AC152" s="231">
        <v>-30.565999999999999</v>
      </c>
      <c r="AD152" s="231">
        <v>1393.1079999999999</v>
      </c>
      <c r="AE152" s="231">
        <v>262.81299999999999</v>
      </c>
      <c r="AF152" s="231">
        <v>0</v>
      </c>
      <c r="AG152" s="303">
        <f>SUM(AC152:AF152)</f>
        <v>1625.355</v>
      </c>
      <c r="AH152" s="231">
        <v>0.51500000000000001</v>
      </c>
      <c r="AI152" s="231">
        <v>1.2999999999999999E-2</v>
      </c>
      <c r="AJ152" s="231">
        <v>0</v>
      </c>
      <c r="AK152" s="231">
        <v>0</v>
      </c>
      <c r="AL152" s="303">
        <f>SUM(AH152:AK152)</f>
        <v>0.52800000000000002</v>
      </c>
      <c r="AM152" s="231">
        <v>19.716000000000001</v>
      </c>
      <c r="AN152" s="231">
        <v>154.66399999999999</v>
      </c>
      <c r="AO152" s="231">
        <v>0</v>
      </c>
      <c r="AP152" s="231">
        <v>0</v>
      </c>
      <c r="AQ152" s="303">
        <f>SUM(AM152:AP152)</f>
        <v>174.38</v>
      </c>
      <c r="AR152" s="303">
        <f t="shared" si="531"/>
        <v>2674.8029999999999</v>
      </c>
      <c r="AS152" s="303">
        <f t="shared" si="532"/>
        <v>445.8005</v>
      </c>
      <c r="AT152" s="232">
        <v>33.142000000000003</v>
      </c>
      <c r="AU152" s="232">
        <v>0</v>
      </c>
      <c r="AV152" s="232">
        <f>37.68+30.027+2.298</f>
        <v>70.004999999999995</v>
      </c>
      <c r="AW152" s="232">
        <f>497.795+3.595</f>
        <v>501.39000000000004</v>
      </c>
      <c r="AX152" s="215">
        <f>SUM(AT152:AW152)</f>
        <v>604.53700000000003</v>
      </c>
      <c r="AY152" s="216">
        <f>SUM(AX150:AX152)</f>
        <v>3516.3109999999997</v>
      </c>
      <c r="AZ152" s="216">
        <f>SUM(AS150:AS152)</f>
        <v>1594.7070000000001</v>
      </c>
      <c r="BA152" s="216">
        <f>SUM(AR150:AR152)</f>
        <v>9568.2419999999984</v>
      </c>
      <c r="BB152" s="215">
        <f>AY152/AZ152</f>
        <v>2.2049887534199071</v>
      </c>
      <c r="BC152" s="215">
        <f>AY152/BA152</f>
        <v>0.36749812556998457</v>
      </c>
      <c r="BD152" s="230"/>
      <c r="BE152" s="212">
        <f>97.338+565.209</f>
        <v>662.54699999999991</v>
      </c>
      <c r="BF152" s="200">
        <v>0</v>
      </c>
      <c r="BG152" s="200">
        <v>184.77199999999999</v>
      </c>
      <c r="BH152" s="212">
        <f>IF(BG152=0,BF152*$BT152,BG152)</f>
        <v>184.77199999999999</v>
      </c>
      <c r="BI152" s="200">
        <v>0</v>
      </c>
      <c r="BJ152" s="200">
        <v>-0.10199999999999999</v>
      </c>
      <c r="BK152" s="212">
        <f>IF(BJ152=0,BI152*$BT152,BJ152)</f>
        <v>-0.10199999999999999</v>
      </c>
      <c r="BL152" s="200">
        <v>0</v>
      </c>
      <c r="BM152" s="200">
        <v>25.443000000000001</v>
      </c>
      <c r="BN152" s="212">
        <f>IF(BM152=0,BL152*$BT152,BM152)</f>
        <v>25.443000000000001</v>
      </c>
      <c r="BO152" s="200">
        <v>0</v>
      </c>
      <c r="BP152" s="200">
        <v>168.21299999999999</v>
      </c>
      <c r="BQ152" s="212">
        <f>IF(BP152=0,BO152*$BT152,BP152)</f>
        <v>168.21299999999999</v>
      </c>
      <c r="BR152" s="200">
        <v>1197.2149999999999</v>
      </c>
      <c r="BS152" s="200">
        <v>1197.2149999999999</v>
      </c>
      <c r="BT152" s="203">
        <f>+P152*BR152/BS152</f>
        <v>1</v>
      </c>
      <c r="BU152" s="220">
        <f>BQ152+BN152+BK152+BH152+BE152</f>
        <v>1040.873</v>
      </c>
      <c r="BV152" s="215">
        <f>BU152/G152</f>
        <v>11.064857615148977</v>
      </c>
      <c r="BW152" s="215">
        <f>BU152/H152</f>
        <v>1.8441429358581625</v>
      </c>
      <c r="BX152" s="230"/>
      <c r="BY152" s="304">
        <f>BU152+AX152</f>
        <v>1645.41</v>
      </c>
      <c r="BZ152" s="305">
        <f>(BY152*0.1)</f>
        <v>164.54100000000003</v>
      </c>
      <c r="CA152" s="306">
        <f>+BZ152/AX152</f>
        <v>0.27217688909032867</v>
      </c>
      <c r="CB152" s="305">
        <f>BZ152/G152</f>
        <v>1.7491305249095979</v>
      </c>
      <c r="CC152" s="305">
        <f>BZ152/H152</f>
        <v>0.29152175415159964</v>
      </c>
      <c r="CD152" s="305">
        <f>+$AX152/G152</f>
        <v>6.4264476339470011</v>
      </c>
      <c r="CE152" s="305">
        <f>+$AX152/H152</f>
        <v>1.0710746056578333</v>
      </c>
      <c r="CF152" s="305">
        <f>BB152+BV152</f>
        <v>13.269846368568885</v>
      </c>
      <c r="CG152" s="305">
        <f>CB152+CF152</f>
        <v>15.018976893478483</v>
      </c>
      <c r="CH152" s="305">
        <f>CF152+CD152</f>
        <v>19.696294002515884</v>
      </c>
      <c r="CI152" s="305">
        <f>+BC152+BW152</f>
        <v>2.2116410614281472</v>
      </c>
      <c r="CJ152" s="305">
        <f>+CI152+CC152</f>
        <v>2.503162815579747</v>
      </c>
      <c r="CK152" s="305">
        <f>+CI152+CE152</f>
        <v>3.2827156670859807</v>
      </c>
      <c r="CL152" s="307">
        <v>4</v>
      </c>
      <c r="CM152" s="305">
        <f>+CF152/10</f>
        <v>1.3269846368568885</v>
      </c>
      <c r="CN152" s="305">
        <f>+CM152*G152</f>
        <v>124.82966595323364</v>
      </c>
      <c r="CO152" s="308">
        <f>+CN152/AX152</f>
        <v>0.20648804945476229</v>
      </c>
      <c r="CP152" s="309">
        <v>7.4119999999999999</v>
      </c>
      <c r="CQ152" s="329"/>
      <c r="CR152" s="266"/>
      <c r="CS152" s="313">
        <f>+CT152*CU152</f>
        <v>228.29322529999999</v>
      </c>
      <c r="CT152" s="313">
        <v>84.867369999999994</v>
      </c>
      <c r="CU152" s="314">
        <v>2.69</v>
      </c>
      <c r="CV152" s="313">
        <f>+CW152*CX152</f>
        <v>209.15337492</v>
      </c>
      <c r="CW152" s="313">
        <v>82.997371000000001</v>
      </c>
      <c r="CX152" s="314">
        <v>2.52</v>
      </c>
      <c r="CY152" s="313">
        <f>+CZ152*DA152</f>
        <v>233.66596250000001</v>
      </c>
      <c r="CZ152" s="313">
        <v>93.466385000000002</v>
      </c>
      <c r="DA152" s="314">
        <v>2.5</v>
      </c>
      <c r="DB152" s="313">
        <f t="shared" si="639"/>
        <v>336.06091728000001</v>
      </c>
      <c r="DC152" s="313">
        <f t="shared" si="639"/>
        <v>114.479874</v>
      </c>
      <c r="DD152" s="314">
        <f>+DB152/DC152</f>
        <v>2.9355458347202585</v>
      </c>
      <c r="DE152" s="315">
        <f>+DF152*DG152</f>
        <v>1007.17348</v>
      </c>
      <c r="DF152" s="315">
        <v>375.81099999999998</v>
      </c>
      <c r="DG152" s="316">
        <v>2.68</v>
      </c>
      <c r="DH152" s="317">
        <f>+DI152*DJ152</f>
        <v>29.965662090000002</v>
      </c>
      <c r="DI152" s="317">
        <v>0.84434100000000001</v>
      </c>
      <c r="DJ152" s="318">
        <v>35.49</v>
      </c>
      <c r="DK152" s="317">
        <f>+DL152*DM152</f>
        <v>34.389298239999995</v>
      </c>
      <c r="DL152" s="317">
        <v>0.84953800000000002</v>
      </c>
      <c r="DM152" s="318">
        <v>40.479999999999997</v>
      </c>
      <c r="DN152" s="317">
        <f>+DO152*DP152</f>
        <v>40.519573659999999</v>
      </c>
      <c r="DO152" s="317">
        <v>0.81087799999999999</v>
      </c>
      <c r="DP152" s="318">
        <v>49.97</v>
      </c>
      <c r="DQ152" s="317">
        <f t="shared" si="640"/>
        <v>67.707846010000026</v>
      </c>
      <c r="DR152" s="317">
        <f t="shared" si="640"/>
        <v>1.1042430000000003</v>
      </c>
      <c r="DS152" s="318">
        <f>+DQ152/DR152</f>
        <v>61.316074460059973</v>
      </c>
      <c r="DT152" s="319">
        <f>+DU152*DV152</f>
        <v>172.58238</v>
      </c>
      <c r="DU152" s="319">
        <v>3.609</v>
      </c>
      <c r="DV152" s="320">
        <v>47.82</v>
      </c>
      <c r="DW152" s="187">
        <f>+DX152*DY152</f>
        <v>61.06178148</v>
      </c>
      <c r="DX152" s="187">
        <v>5.9747339999999998</v>
      </c>
      <c r="DY152" s="321">
        <v>10.220000000000001</v>
      </c>
      <c r="DZ152" s="187">
        <f>+EA152*EB152</f>
        <v>79.439018360000006</v>
      </c>
      <c r="EA152" s="187">
        <v>6.8659480000000004</v>
      </c>
      <c r="EB152" s="321">
        <v>11.57</v>
      </c>
      <c r="EC152" s="187">
        <f>+ED152*EE152</f>
        <v>83.767771229999994</v>
      </c>
      <c r="ED152" s="187">
        <v>6.7391610000000002</v>
      </c>
      <c r="EE152" s="321">
        <v>12.43</v>
      </c>
      <c r="EF152" s="187">
        <f t="shared" si="641"/>
        <v>141.92158892999998</v>
      </c>
      <c r="EG152" s="187">
        <f t="shared" si="641"/>
        <v>8.246157000000002</v>
      </c>
      <c r="EH152" s="321">
        <f>+EF152/EG152</f>
        <v>17.210633866175474</v>
      </c>
      <c r="EI152" s="310">
        <f>+EJ152*EK152</f>
        <v>366.19015999999999</v>
      </c>
      <c r="EJ152" s="310">
        <v>27.826000000000001</v>
      </c>
      <c r="EK152" s="311">
        <v>13.16</v>
      </c>
      <c r="EL152" s="345">
        <v>43.2</v>
      </c>
      <c r="EM152" s="345">
        <v>2.52</v>
      </c>
      <c r="EN152" s="345">
        <v>5.04</v>
      </c>
      <c r="EO152" s="332">
        <v>1.99</v>
      </c>
      <c r="EP152" s="332">
        <v>2.15</v>
      </c>
      <c r="EQ152" s="332">
        <v>2.88</v>
      </c>
      <c r="ER152" s="332">
        <v>3.04</v>
      </c>
      <c r="ES152" s="332">
        <v>4.0199999999999996</v>
      </c>
      <c r="ET152" s="332">
        <v>5</v>
      </c>
      <c r="EU152" s="332">
        <v>5.04</v>
      </c>
      <c r="EV152" s="332">
        <v>6.05</v>
      </c>
      <c r="EW152" s="332">
        <v>33.35</v>
      </c>
      <c r="EX152" s="332">
        <v>45.46</v>
      </c>
      <c r="EY152" s="332">
        <v>44.85</v>
      </c>
      <c r="EZ152" s="332">
        <v>49.14</v>
      </c>
    </row>
    <row r="153" spans="1:156" ht="27.75" customHeight="1" x14ac:dyDescent="0.3">
      <c r="A153" s="24" t="s">
        <v>66</v>
      </c>
      <c r="B153" s="24" t="s">
        <v>67</v>
      </c>
      <c r="C153" s="1">
        <v>2007</v>
      </c>
      <c r="D153" s="25">
        <v>109.881</v>
      </c>
      <c r="E153" s="25">
        <v>0.61399999999999999</v>
      </c>
      <c r="F153" s="25">
        <v>0</v>
      </c>
      <c r="G153" s="25">
        <f t="shared" si="524"/>
        <v>18.927500000000002</v>
      </c>
      <c r="H153" s="25">
        <f t="shared" si="525"/>
        <v>113.565</v>
      </c>
      <c r="I153" s="25">
        <v>0</v>
      </c>
      <c r="J153" s="25">
        <v>0</v>
      </c>
      <c r="K153" s="25">
        <v>0</v>
      </c>
      <c r="L153" s="25">
        <f t="shared" si="526"/>
        <v>0</v>
      </c>
      <c r="M153" s="25">
        <f t="shared" si="527"/>
        <v>0</v>
      </c>
      <c r="N153" s="25">
        <f t="shared" si="309"/>
        <v>18.927500000000002</v>
      </c>
      <c r="O153" s="25">
        <f t="shared" si="309"/>
        <v>113.565</v>
      </c>
      <c r="P153" s="26">
        <f t="shared" si="528"/>
        <v>1</v>
      </c>
      <c r="Q153" s="26">
        <f t="shared" si="572"/>
        <v>0.96756042794875186</v>
      </c>
      <c r="R153" s="26">
        <f t="shared" si="385"/>
        <v>3.2439572051248179E-2</v>
      </c>
      <c r="S153" s="26">
        <f t="shared" si="386"/>
        <v>0</v>
      </c>
      <c r="T153" s="207">
        <v>1643</v>
      </c>
      <c r="U153" s="207">
        <v>0</v>
      </c>
      <c r="V153" s="207">
        <v>516.57799999999997</v>
      </c>
      <c r="W153" s="25">
        <f t="shared" ref="W153:W159" si="643">+T153*6+U153*6+V153</f>
        <v>10374.578</v>
      </c>
      <c r="X153" s="25"/>
      <c r="Y153" s="25">
        <f t="shared" ref="Y153:Y159" si="644">+T153+U153+V153/6</f>
        <v>1729.0963333333334</v>
      </c>
      <c r="Z153" s="25"/>
      <c r="AA153" s="25"/>
      <c r="AB153" s="27"/>
      <c r="AC153" s="28">
        <v>30.489000000000001</v>
      </c>
      <c r="AD153" s="28">
        <v>498.14100000000002</v>
      </c>
      <c r="AE153" s="28">
        <v>0.20399999999999999</v>
      </c>
      <c r="AF153" s="28">
        <v>0</v>
      </c>
      <c r="AG153" s="29">
        <f>SUM(AC153:AF153)</f>
        <v>528.83399999999995</v>
      </c>
      <c r="AH153" s="28">
        <v>8.1000000000000003E-2</v>
      </c>
      <c r="AI153" s="28">
        <v>1.585</v>
      </c>
      <c r="AJ153" s="28">
        <v>0</v>
      </c>
      <c r="AK153" s="28">
        <v>0</v>
      </c>
      <c r="AL153" s="29">
        <f>SUM(AH153:AK153)</f>
        <v>1.6659999999999999</v>
      </c>
      <c r="AM153" s="28">
        <v>0</v>
      </c>
      <c r="AN153" s="28">
        <v>0</v>
      </c>
      <c r="AO153" s="28">
        <v>0</v>
      </c>
      <c r="AP153" s="28">
        <v>0</v>
      </c>
      <c r="AQ153" s="29">
        <f>SUM(AM153:AP153)</f>
        <v>0</v>
      </c>
      <c r="AR153" s="29">
        <f t="shared" si="531"/>
        <v>538.82999999999993</v>
      </c>
      <c r="AS153" s="29">
        <f t="shared" si="532"/>
        <v>89.804999999999993</v>
      </c>
      <c r="AT153" s="30">
        <v>119.536</v>
      </c>
      <c r="AU153" s="30">
        <v>0</v>
      </c>
      <c r="AV153" s="30">
        <v>0</v>
      </c>
      <c r="AW153" s="30">
        <v>1375.2</v>
      </c>
      <c r="AX153" s="31">
        <f t="shared" si="642"/>
        <v>1494.7360000000001</v>
      </c>
      <c r="AY153" s="25"/>
      <c r="AZ153" s="25"/>
      <c r="BA153" s="25"/>
      <c r="BB153" s="31"/>
      <c r="BC153" s="31"/>
      <c r="BD153" s="27" t="s">
        <v>68</v>
      </c>
      <c r="BE153" s="32"/>
      <c r="BF153" s="33"/>
      <c r="BG153" s="34"/>
      <c r="BH153" s="32"/>
      <c r="BI153" s="33"/>
      <c r="BJ153" s="34"/>
      <c r="BK153" s="32"/>
      <c r="BL153" s="33"/>
      <c r="BM153" s="34"/>
      <c r="BN153" s="32"/>
      <c r="BO153" s="33"/>
      <c r="BP153" s="34"/>
      <c r="BQ153" s="32"/>
      <c r="BR153" s="34">
        <v>0</v>
      </c>
      <c r="BS153" s="34">
        <v>0</v>
      </c>
      <c r="BT153" s="34"/>
      <c r="BU153" s="35"/>
      <c r="BV153" s="31"/>
      <c r="BW153" s="31"/>
      <c r="BX153" s="27"/>
      <c r="BY153" s="88"/>
      <c r="BZ153" s="36"/>
      <c r="CA153" s="36"/>
      <c r="CB153" s="36"/>
      <c r="CC153" s="36"/>
      <c r="CD153" s="36"/>
      <c r="CE153" s="36"/>
      <c r="CF153" s="36"/>
      <c r="CG153" s="36"/>
      <c r="CH153" s="36"/>
      <c r="CI153" s="36"/>
      <c r="CJ153" s="36"/>
      <c r="CK153" s="36"/>
      <c r="CL153" s="37">
        <v>4</v>
      </c>
      <c r="CM153" s="37"/>
      <c r="CN153" s="37"/>
      <c r="CO153" s="37"/>
      <c r="CP153" s="327"/>
      <c r="CQ153" s="327"/>
      <c r="CS153" s="293"/>
      <c r="CT153" s="227"/>
      <c r="CU153" s="227"/>
      <c r="CV153" s="227"/>
      <c r="CW153" s="227"/>
      <c r="CX153" s="227"/>
      <c r="CY153" s="227"/>
      <c r="CZ153" s="227"/>
      <c r="DA153" s="227"/>
      <c r="DB153" s="227"/>
      <c r="DC153" s="227"/>
      <c r="DD153" s="227"/>
      <c r="DE153" s="275"/>
      <c r="DF153" s="275"/>
      <c r="DG153" s="275"/>
      <c r="DH153" s="226"/>
      <c r="DI153" s="226"/>
      <c r="DJ153" s="226"/>
      <c r="DK153" s="226"/>
      <c r="DL153" s="226"/>
      <c r="DM153" s="226"/>
      <c r="DN153" s="226"/>
      <c r="DO153" s="226"/>
      <c r="DP153" s="226"/>
      <c r="DQ153" s="226"/>
      <c r="DR153" s="226"/>
      <c r="DS153" s="226"/>
      <c r="DT153" s="278"/>
      <c r="DU153" s="278"/>
      <c r="DV153" s="278"/>
      <c r="DW153" s="280"/>
      <c r="DX153" s="280"/>
      <c r="DY153" s="280"/>
      <c r="DZ153" s="280"/>
      <c r="EA153" s="280"/>
      <c r="EB153" s="280"/>
      <c r="EC153" s="280"/>
      <c r="ED153" s="280"/>
      <c r="EE153" s="280"/>
      <c r="EF153" s="280"/>
      <c r="EG153" s="280"/>
      <c r="EH153" s="280"/>
      <c r="EI153" s="283"/>
      <c r="EJ153" s="283"/>
      <c r="EK153" s="294"/>
      <c r="EL153" s="343">
        <v>72.34</v>
      </c>
      <c r="EM153" s="343">
        <v>6.97</v>
      </c>
      <c r="EN153" s="343">
        <v>12.91</v>
      </c>
      <c r="EO153" s="116"/>
      <c r="EP153" s="116"/>
      <c r="EQ153" s="116"/>
      <c r="ER153" s="116"/>
      <c r="ES153" s="116"/>
      <c r="ET153" s="116"/>
      <c r="EU153" s="116"/>
      <c r="EV153" s="116"/>
      <c r="EW153" s="116"/>
      <c r="EX153" s="116"/>
      <c r="EY153" s="116"/>
      <c r="EZ153" s="116"/>
    </row>
    <row r="154" spans="1:156" ht="27.75" customHeight="1" x14ac:dyDescent="0.3">
      <c r="A154" s="24" t="s">
        <v>66</v>
      </c>
      <c r="B154" s="24" t="s">
        <v>67</v>
      </c>
      <c r="C154" s="1">
        <v>2008</v>
      </c>
      <c r="D154" s="25">
        <v>192.26499999999999</v>
      </c>
      <c r="E154" s="25">
        <v>0.38500000000000001</v>
      </c>
      <c r="F154" s="25">
        <v>0</v>
      </c>
      <c r="G154" s="25">
        <f t="shared" si="524"/>
        <v>32.42916666666666</v>
      </c>
      <c r="H154" s="25">
        <f t="shared" si="525"/>
        <v>194.57499999999999</v>
      </c>
      <c r="I154" s="25">
        <v>0</v>
      </c>
      <c r="J154" s="25">
        <v>0</v>
      </c>
      <c r="K154" s="25">
        <v>0</v>
      </c>
      <c r="L154" s="25">
        <f t="shared" si="526"/>
        <v>0</v>
      </c>
      <c r="M154" s="25">
        <f t="shared" si="527"/>
        <v>0</v>
      </c>
      <c r="N154" s="25">
        <f t="shared" si="309"/>
        <v>32.42916666666666</v>
      </c>
      <c r="O154" s="25">
        <f t="shared" si="309"/>
        <v>194.57499999999999</v>
      </c>
      <c r="P154" s="26">
        <f t="shared" si="528"/>
        <v>1</v>
      </c>
      <c r="Q154" s="26">
        <f t="shared" si="572"/>
        <v>0.98812797121932416</v>
      </c>
      <c r="R154" s="26">
        <f t="shared" si="385"/>
        <v>1.1872028780675834E-2</v>
      </c>
      <c r="S154" s="26">
        <f t="shared" si="386"/>
        <v>0</v>
      </c>
      <c r="T154" s="207">
        <v>155</v>
      </c>
      <c r="U154" s="207">
        <v>0</v>
      </c>
      <c r="V154" s="207">
        <v>839.15800000000002</v>
      </c>
      <c r="W154" s="25">
        <f t="shared" si="643"/>
        <v>1769.1579999999999</v>
      </c>
      <c r="X154" s="25">
        <f t="shared" ref="X154:X159" si="645">W154-W153</f>
        <v>-8605.42</v>
      </c>
      <c r="Y154" s="25">
        <f t="shared" si="644"/>
        <v>294.85966666666667</v>
      </c>
      <c r="Z154" s="25">
        <f t="shared" ref="Z154:Z159" si="646">Y154-Y153</f>
        <v>-1434.2366666666667</v>
      </c>
      <c r="AA154" s="204">
        <f t="shared" ref="AA154:AA159" si="647">+Z154/Y153</f>
        <v>-0.82947181080522014</v>
      </c>
      <c r="AB154" s="27"/>
      <c r="AC154" s="28">
        <v>100.23</v>
      </c>
      <c r="AD154" s="28">
        <v>919.62300000000005</v>
      </c>
      <c r="AE154" s="28">
        <v>0</v>
      </c>
      <c r="AF154" s="28">
        <v>0</v>
      </c>
      <c r="AG154" s="29">
        <f t="shared" si="17"/>
        <v>1019.8530000000001</v>
      </c>
      <c r="AH154" s="28">
        <v>-0.35499999999999998</v>
      </c>
      <c r="AI154" s="28">
        <v>9.2999999999999999E-2</v>
      </c>
      <c r="AJ154" s="28">
        <v>0</v>
      </c>
      <c r="AK154" s="28">
        <v>0</v>
      </c>
      <c r="AL154" s="29">
        <f t="shared" si="536"/>
        <v>-0.26200000000000001</v>
      </c>
      <c r="AM154" s="28">
        <v>0</v>
      </c>
      <c r="AN154" s="28">
        <v>0</v>
      </c>
      <c r="AO154" s="28">
        <v>0</v>
      </c>
      <c r="AP154" s="28">
        <v>0</v>
      </c>
      <c r="AQ154" s="29">
        <f t="shared" ref="AQ154:AQ159" si="648">SUM(AM154:AP154)</f>
        <v>0</v>
      </c>
      <c r="AR154" s="29">
        <f t="shared" si="531"/>
        <v>1018.2810000000001</v>
      </c>
      <c r="AS154" s="29">
        <f t="shared" si="532"/>
        <v>169.71350000000001</v>
      </c>
      <c r="AT154" s="30">
        <v>121.871</v>
      </c>
      <c r="AU154" s="30">
        <v>0</v>
      </c>
      <c r="AV154" s="30">
        <v>0</v>
      </c>
      <c r="AW154" s="30">
        <v>1569.1</v>
      </c>
      <c r="AX154" s="31">
        <f t="shared" si="642"/>
        <v>1690.971</v>
      </c>
      <c r="AY154" s="25"/>
      <c r="AZ154" s="25"/>
      <c r="BA154" s="25"/>
      <c r="BC154" s="31"/>
      <c r="BD154" s="27" t="s">
        <v>68</v>
      </c>
      <c r="BE154" s="32"/>
      <c r="BF154" s="33"/>
      <c r="BG154" s="34"/>
      <c r="BH154" s="32"/>
      <c r="BI154" s="33"/>
      <c r="BJ154" s="34"/>
      <c r="BK154" s="32"/>
      <c r="BL154" s="33"/>
      <c r="BM154" s="34"/>
      <c r="BN154" s="32"/>
      <c r="BO154" s="33"/>
      <c r="BP154" s="34"/>
      <c r="BQ154" s="32"/>
      <c r="BR154" s="57">
        <v>0</v>
      </c>
      <c r="BS154" s="57">
        <v>0</v>
      </c>
      <c r="BT154" s="57"/>
      <c r="BU154" s="35"/>
      <c r="BV154" s="31"/>
      <c r="BW154" s="31"/>
      <c r="BX154" s="27"/>
      <c r="BY154" s="88"/>
      <c r="BZ154" s="38"/>
      <c r="CA154" s="36"/>
      <c r="CB154" s="38"/>
      <c r="CC154" s="36"/>
      <c r="CD154" s="36"/>
      <c r="CE154" s="36"/>
      <c r="CF154" s="89"/>
      <c r="CG154" s="36"/>
      <c r="CH154" s="36"/>
      <c r="CI154" s="36"/>
      <c r="CJ154" s="36"/>
      <c r="CK154" s="36"/>
      <c r="CL154" s="37">
        <v>4</v>
      </c>
      <c r="CM154" s="37"/>
      <c r="CN154" s="38"/>
      <c r="CO154" s="38"/>
      <c r="CP154" s="327"/>
      <c r="CQ154" s="327"/>
      <c r="CS154" s="271"/>
      <c r="CT154" s="133"/>
      <c r="CU154" s="133"/>
      <c r="CV154" s="133"/>
      <c r="CW154" s="133"/>
      <c r="CX154" s="133"/>
      <c r="CY154" s="133"/>
      <c r="CZ154" s="133"/>
      <c r="DA154" s="133"/>
      <c r="DB154" s="133"/>
      <c r="DC154" s="133"/>
      <c r="DD154" s="133"/>
      <c r="DE154" s="273"/>
      <c r="DF154" s="273"/>
      <c r="DG154" s="273"/>
      <c r="DH154" s="132"/>
      <c r="DI154" s="132"/>
      <c r="DJ154" s="132"/>
      <c r="DK154" s="132"/>
      <c r="DL154" s="132"/>
      <c r="DM154" s="132"/>
      <c r="DN154" s="132"/>
      <c r="DO154" s="132"/>
      <c r="DP154" s="132"/>
      <c r="DQ154" s="132"/>
      <c r="DR154" s="132"/>
      <c r="DS154" s="132"/>
      <c r="DT154" s="276"/>
      <c r="DU154" s="276"/>
      <c r="DV154" s="276"/>
      <c r="DW154" s="279"/>
      <c r="DX154" s="279"/>
      <c r="DY154" s="279"/>
      <c r="DZ154" s="279"/>
      <c r="EA154" s="279"/>
      <c r="EB154" s="279"/>
      <c r="EC154" s="279"/>
      <c r="ED154" s="279"/>
      <c r="EE154" s="279"/>
      <c r="EF154" s="279"/>
      <c r="EG154" s="279"/>
      <c r="EH154" s="279"/>
      <c r="EI154" s="281"/>
      <c r="EJ154" s="281"/>
      <c r="EK154" s="295"/>
      <c r="EL154" s="343">
        <v>99.67</v>
      </c>
      <c r="EM154" s="343">
        <v>8.86</v>
      </c>
      <c r="EN154" s="343">
        <v>15.2</v>
      </c>
      <c r="EO154" s="116"/>
      <c r="EP154" s="116"/>
      <c r="EQ154" s="116"/>
      <c r="ER154" s="116"/>
      <c r="ES154" s="116"/>
      <c r="ET154" s="116"/>
      <c r="EU154" s="116"/>
      <c r="EV154" s="116"/>
      <c r="EW154" s="116"/>
      <c r="EX154" s="116"/>
      <c r="EY154" s="116"/>
      <c r="EZ154" s="116"/>
    </row>
    <row r="155" spans="1:156" ht="27.75" customHeight="1" x14ac:dyDescent="0.3">
      <c r="A155" s="24" t="s">
        <v>66</v>
      </c>
      <c r="B155" s="24" t="s">
        <v>67</v>
      </c>
      <c r="C155" s="1">
        <v>2009</v>
      </c>
      <c r="D155" s="25">
        <v>299.69799999999998</v>
      </c>
      <c r="E155" s="25">
        <v>0.124</v>
      </c>
      <c r="F155" s="25">
        <v>0</v>
      </c>
      <c r="G155" s="25">
        <f t="shared" si="524"/>
        <v>50.073666666666668</v>
      </c>
      <c r="H155" s="25">
        <f t="shared" si="525"/>
        <v>300.44200000000001</v>
      </c>
      <c r="I155" s="25">
        <v>0</v>
      </c>
      <c r="J155" s="25">
        <v>0</v>
      </c>
      <c r="K155" s="25">
        <v>0</v>
      </c>
      <c r="L155" s="25">
        <f t="shared" si="526"/>
        <v>0</v>
      </c>
      <c r="M155" s="25">
        <f t="shared" si="527"/>
        <v>0</v>
      </c>
      <c r="N155" s="25">
        <f t="shared" si="309"/>
        <v>50.073666666666668</v>
      </c>
      <c r="O155" s="25">
        <f t="shared" si="309"/>
        <v>300.44200000000001</v>
      </c>
      <c r="P155" s="26">
        <f t="shared" si="528"/>
        <v>1</v>
      </c>
      <c r="Q155" s="26">
        <f t="shared" si="572"/>
        <v>0.99752364849122288</v>
      </c>
      <c r="R155" s="26">
        <f t="shared" si="385"/>
        <v>2.4763515087770686E-3</v>
      </c>
      <c r="S155" s="26">
        <f t="shared" si="386"/>
        <v>0</v>
      </c>
      <c r="T155" s="207">
        <v>31</v>
      </c>
      <c r="U155" s="207">
        <v>0</v>
      </c>
      <c r="V155" s="207">
        <v>1677.5360000000001</v>
      </c>
      <c r="W155" s="25">
        <f t="shared" si="643"/>
        <v>1863.5360000000001</v>
      </c>
      <c r="X155" s="25">
        <f t="shared" si="645"/>
        <v>94.378000000000156</v>
      </c>
      <c r="Y155" s="25">
        <f t="shared" si="644"/>
        <v>310.58933333333334</v>
      </c>
      <c r="Z155" s="25">
        <f t="shared" si="646"/>
        <v>15.729666666666674</v>
      </c>
      <c r="AA155" s="204">
        <f t="shared" si="647"/>
        <v>5.3346281112257948E-2</v>
      </c>
      <c r="AB155" s="27"/>
      <c r="AC155" s="28">
        <v>94.93</v>
      </c>
      <c r="AD155" s="28">
        <v>1683.2639999999999</v>
      </c>
      <c r="AE155" s="28">
        <v>1.7949999999999999</v>
      </c>
      <c r="AF155" s="28">
        <v>0</v>
      </c>
      <c r="AG155" s="29">
        <f t="shared" ref="AG155:AG162" si="649">SUM(AC155:AF155)</f>
        <v>1779.989</v>
      </c>
      <c r="AH155" s="28">
        <v>-0.34599999999999997</v>
      </c>
      <c r="AI155" s="28">
        <v>2.1999999999999999E-2</v>
      </c>
      <c r="AJ155" s="28">
        <v>0</v>
      </c>
      <c r="AK155" s="28">
        <v>0</v>
      </c>
      <c r="AL155" s="29">
        <f t="shared" si="536"/>
        <v>-0.32399999999999995</v>
      </c>
      <c r="AM155" s="28">
        <v>0</v>
      </c>
      <c r="AN155" s="28">
        <v>0</v>
      </c>
      <c r="AO155" s="28">
        <v>0</v>
      </c>
      <c r="AP155" s="28">
        <v>0</v>
      </c>
      <c r="AQ155" s="29">
        <f t="shared" si="648"/>
        <v>0</v>
      </c>
      <c r="AR155" s="29">
        <f t="shared" si="531"/>
        <v>1778.0450000000001</v>
      </c>
      <c r="AS155" s="29">
        <f t="shared" si="532"/>
        <v>296.34083333333331</v>
      </c>
      <c r="AT155" s="30">
        <v>115.217</v>
      </c>
      <c r="AU155" s="30">
        <v>4.3719999999999999</v>
      </c>
      <c r="AV155" s="30">
        <v>52.177999999999997</v>
      </c>
      <c r="AW155" s="30">
        <v>1358.1089999999999</v>
      </c>
      <c r="AX155" s="31">
        <f t="shared" si="642"/>
        <v>1529.876</v>
      </c>
      <c r="AY155" s="25">
        <f>SUM(AX153:AX155)</f>
        <v>4715.5830000000005</v>
      </c>
      <c r="AZ155" s="25">
        <f>SUM(AS153:AS155)</f>
        <v>555.85933333333332</v>
      </c>
      <c r="BA155" s="25">
        <f>SUM(AR153:AR155)</f>
        <v>3335.1559999999999</v>
      </c>
      <c r="BB155" s="31">
        <f t="shared" ref="BB155:BB162" si="650">AY155/AZ155</f>
        <v>8.483410671045073</v>
      </c>
      <c r="BC155" s="31">
        <f t="shared" ref="BC155:BC162" si="651">AY155/BA155</f>
        <v>1.4139017785075123</v>
      </c>
      <c r="BD155" s="27" t="s">
        <v>68</v>
      </c>
      <c r="BE155" s="32">
        <f>0.77*O155</f>
        <v>231.34034</v>
      </c>
      <c r="BF155" s="34">
        <v>0</v>
      </c>
      <c r="BG155" s="34">
        <f>0.35*O155</f>
        <v>105.15469999999999</v>
      </c>
      <c r="BH155" s="32">
        <f t="shared" ref="BH155:BH162" si="652">IF(BG155=0,BF155*$BT155,BG155)</f>
        <v>105.15469999999999</v>
      </c>
      <c r="BI155" s="34">
        <v>-64.968999999999994</v>
      </c>
      <c r="BJ155" s="34">
        <v>0</v>
      </c>
      <c r="BK155" s="32">
        <f t="shared" ref="BK155:BK162" si="653">IF(BJ155=0,BI155*$BT155,BJ155)</f>
        <v>-47.922518118515612</v>
      </c>
      <c r="BL155" s="34">
        <v>0</v>
      </c>
      <c r="BM155" s="34">
        <v>33.935000000000002</v>
      </c>
      <c r="BN155" s="32">
        <f t="shared" ref="BN155:BN162" si="654">IF(BM155=0,BL155*$BT155,BM155)</f>
        <v>33.935000000000002</v>
      </c>
      <c r="BO155" s="34">
        <v>61.152000000000001</v>
      </c>
      <c r="BP155" s="34">
        <v>0</v>
      </c>
      <c r="BQ155" s="32">
        <f t="shared" ref="BQ155:BQ162" si="655">IF(BP155=0,BO155*$BT155,BP155)</f>
        <v>45.107017623535334</v>
      </c>
      <c r="BR155" s="34">
        <v>1582.596</v>
      </c>
      <c r="BS155" s="34">
        <v>2145.54</v>
      </c>
      <c r="BT155" s="201">
        <f t="shared" ref="BT155:BT162" si="656">+P155*BR155/BS155</f>
        <v>0.73762129813473531</v>
      </c>
      <c r="BU155" s="35">
        <f t="shared" ref="BU155:BU162" si="657">BQ155+BN155+BK155+BH155+BE155</f>
        <v>367.61453950501971</v>
      </c>
      <c r="BV155" s="31">
        <f t="shared" ref="BV155:BV162" si="658">BU155/G155</f>
        <v>7.3414743512229252</v>
      </c>
      <c r="BW155" s="31">
        <f t="shared" ref="BW155:BW162" si="659">BU155/H155</f>
        <v>1.2235790585371542</v>
      </c>
      <c r="BX155" s="27"/>
      <c r="BY155" s="90">
        <f t="shared" ref="BY155:BY162" si="660">BU155+AX155</f>
        <v>1897.4905395050196</v>
      </c>
      <c r="BZ155" s="38">
        <f t="shared" ref="BZ155:BZ162" si="661">(BY155*0.1)</f>
        <v>189.74905395050197</v>
      </c>
      <c r="CA155" s="140">
        <f t="shared" ref="CA155:CA162" si="662">+BZ155/AX155</f>
        <v>0.12402904153702782</v>
      </c>
      <c r="CB155" s="38">
        <f t="shared" ref="CB155:CB162" si="663">BZ155/G155</f>
        <v>3.7893980325753782</v>
      </c>
      <c r="CC155" s="38">
        <f t="shared" ref="CC155:CC162" si="664">BZ155/H155</f>
        <v>0.63156633876256307</v>
      </c>
      <c r="CD155" s="38">
        <f t="shared" ref="CD155:CE159" si="665">+$AX155/G155</f>
        <v>30.552505974530856</v>
      </c>
      <c r="CE155" s="38">
        <f t="shared" si="665"/>
        <v>5.0920843290884763</v>
      </c>
      <c r="CF155" s="38">
        <f t="shared" ref="CF155:CF162" si="666">BB155+BV155</f>
        <v>15.824885022267999</v>
      </c>
      <c r="CG155" s="38">
        <f t="shared" ref="CG155:CG162" si="667">CB155+CF155</f>
        <v>19.614283054843376</v>
      </c>
      <c r="CH155" s="38">
        <f t="shared" ref="CH155:CH162" si="668">CF155+CD155</f>
        <v>46.377390996798852</v>
      </c>
      <c r="CI155" s="38">
        <f t="shared" ref="CI155:CI162" si="669">+BC155+BW155</f>
        <v>2.6374808370446665</v>
      </c>
      <c r="CJ155" s="38">
        <f t="shared" ref="CJ155:CJ162" si="670">+CI155+CC155</f>
        <v>3.2690471758072297</v>
      </c>
      <c r="CK155" s="38">
        <f t="shared" ref="CK155:CK162" si="671">+CI155+CE155</f>
        <v>7.7295651661331428</v>
      </c>
      <c r="CL155" s="37">
        <v>4</v>
      </c>
      <c r="CM155" s="38">
        <f t="shared" ref="CM155:CM162" si="672">+CF155/10</f>
        <v>1.5824885022267998</v>
      </c>
      <c r="CN155" s="38">
        <f t="shared" ref="CN155:CN162" si="673">+CM155*G155</f>
        <v>79.241001764337369</v>
      </c>
      <c r="CO155" s="145">
        <f t="shared" ref="CO155:CO162" si="674">+CN155/AX155</f>
        <v>5.1795702242755211E-2</v>
      </c>
      <c r="CP155" s="62"/>
      <c r="CQ155" s="327">
        <v>595</v>
      </c>
      <c r="CS155" s="271"/>
      <c r="CT155" s="133"/>
      <c r="CU155" s="133"/>
      <c r="CV155" s="133"/>
      <c r="CW155" s="133"/>
      <c r="CX155" s="133"/>
      <c r="CY155" s="133"/>
      <c r="CZ155" s="133"/>
      <c r="DA155" s="133"/>
      <c r="DB155" s="133"/>
      <c r="DC155" s="133"/>
      <c r="DD155" s="133"/>
      <c r="DE155" s="273"/>
      <c r="DF155" s="273"/>
      <c r="DG155" s="273"/>
      <c r="DH155" s="132"/>
      <c r="DI155" s="132"/>
      <c r="DJ155" s="132"/>
      <c r="DK155" s="132"/>
      <c r="DL155" s="132"/>
      <c r="DM155" s="132"/>
      <c r="DN155" s="132"/>
      <c r="DO155" s="132"/>
      <c r="DP155" s="132"/>
      <c r="DQ155" s="132"/>
      <c r="DR155" s="132"/>
      <c r="DS155" s="132"/>
      <c r="DT155" s="276"/>
      <c r="DU155" s="276"/>
      <c r="DV155" s="276"/>
      <c r="DW155" s="279"/>
      <c r="DX155" s="279"/>
      <c r="DY155" s="279"/>
      <c r="DZ155" s="279"/>
      <c r="EA155" s="279"/>
      <c r="EB155" s="279"/>
      <c r="EC155" s="279"/>
      <c r="ED155" s="279"/>
      <c r="EE155" s="279"/>
      <c r="EF155" s="279"/>
      <c r="EG155" s="279"/>
      <c r="EH155" s="279"/>
      <c r="EI155" s="281"/>
      <c r="EJ155" s="281"/>
      <c r="EK155" s="295"/>
      <c r="EL155" s="343">
        <v>61.95</v>
      </c>
      <c r="EM155" s="343">
        <v>3.94</v>
      </c>
      <c r="EN155" s="343">
        <v>8.99</v>
      </c>
      <c r="EO155" s="116"/>
      <c r="EP155" s="116"/>
      <c r="EQ155" s="116"/>
      <c r="ER155" s="116"/>
      <c r="ES155" s="116"/>
      <c r="ET155" s="116"/>
      <c r="EU155" s="116"/>
      <c r="EV155" s="116"/>
      <c r="EW155" s="116"/>
      <c r="EX155" s="116"/>
      <c r="EY155" s="116"/>
      <c r="EZ155" s="116"/>
    </row>
    <row r="156" spans="1:156" ht="27.75" customHeight="1" x14ac:dyDescent="0.3">
      <c r="A156" s="24" t="s">
        <v>66</v>
      </c>
      <c r="B156" s="24" t="s">
        <v>67</v>
      </c>
      <c r="C156" s="1">
        <v>2010</v>
      </c>
      <c r="D156" s="25">
        <v>403.63600000000002</v>
      </c>
      <c r="E156" s="25">
        <v>0.17100000000000001</v>
      </c>
      <c r="F156" s="25">
        <v>0</v>
      </c>
      <c r="G156" s="25">
        <f t="shared" si="524"/>
        <v>67.443666666666672</v>
      </c>
      <c r="H156" s="25">
        <f t="shared" si="525"/>
        <v>404.66200000000003</v>
      </c>
      <c r="I156" s="25">
        <v>0</v>
      </c>
      <c r="J156" s="25">
        <v>0</v>
      </c>
      <c r="K156" s="25">
        <v>0</v>
      </c>
      <c r="L156" s="25">
        <f t="shared" si="526"/>
        <v>0</v>
      </c>
      <c r="M156" s="25">
        <f t="shared" si="527"/>
        <v>0</v>
      </c>
      <c r="N156" s="25">
        <f t="shared" si="309"/>
        <v>67.443666666666672</v>
      </c>
      <c r="O156" s="25">
        <f t="shared" si="309"/>
        <v>404.66200000000003</v>
      </c>
      <c r="P156" s="26">
        <f t="shared" si="528"/>
        <v>1</v>
      </c>
      <c r="Q156" s="26">
        <f t="shared" si="572"/>
        <v>0.99746455066203399</v>
      </c>
      <c r="R156" s="26">
        <f t="shared" si="385"/>
        <v>2.5354493379660063E-3</v>
      </c>
      <c r="S156" s="26">
        <f t="shared" si="386"/>
        <v>0</v>
      </c>
      <c r="T156" s="207">
        <v>46</v>
      </c>
      <c r="U156" s="207">
        <v>0</v>
      </c>
      <c r="V156" s="207">
        <v>2242.7420000000002</v>
      </c>
      <c r="W156" s="25">
        <f t="shared" si="643"/>
        <v>2518.7420000000002</v>
      </c>
      <c r="X156" s="25">
        <f t="shared" si="645"/>
        <v>655.20600000000013</v>
      </c>
      <c r="Y156" s="25">
        <f t="shared" si="644"/>
        <v>419.79033333333336</v>
      </c>
      <c r="Z156" s="25">
        <f t="shared" si="646"/>
        <v>109.20100000000002</v>
      </c>
      <c r="AA156" s="204">
        <f t="shared" si="647"/>
        <v>0.35159288578272707</v>
      </c>
      <c r="AB156" s="27"/>
      <c r="AC156" s="28">
        <v>309.29199999999997</v>
      </c>
      <c r="AD156" s="28">
        <v>1429.4390000000001</v>
      </c>
      <c r="AE156" s="28">
        <v>0</v>
      </c>
      <c r="AF156" s="28">
        <v>0</v>
      </c>
      <c r="AG156" s="29">
        <f t="shared" si="649"/>
        <v>1738.731</v>
      </c>
      <c r="AH156" s="28">
        <v>1.0589999999999999</v>
      </c>
      <c r="AI156" s="28">
        <v>0.28100000000000003</v>
      </c>
      <c r="AJ156" s="28">
        <v>0</v>
      </c>
      <c r="AK156" s="28">
        <v>0</v>
      </c>
      <c r="AL156" s="29">
        <f t="shared" si="536"/>
        <v>1.3399999999999999</v>
      </c>
      <c r="AM156" s="28">
        <v>0</v>
      </c>
      <c r="AN156" s="28">
        <v>0</v>
      </c>
      <c r="AO156" s="28">
        <v>0</v>
      </c>
      <c r="AP156" s="28">
        <v>0</v>
      </c>
      <c r="AQ156" s="29">
        <f t="shared" si="648"/>
        <v>0</v>
      </c>
      <c r="AR156" s="29">
        <f t="shared" si="531"/>
        <v>1746.771</v>
      </c>
      <c r="AS156" s="29">
        <f t="shared" si="532"/>
        <v>291.12849999999997</v>
      </c>
      <c r="AT156" s="30">
        <f>229.909-2.5</f>
        <v>227.40899999999999</v>
      </c>
      <c r="AU156" s="30">
        <v>0</v>
      </c>
      <c r="AV156" s="30">
        <f>29.062-8.2</f>
        <v>20.862000000000002</v>
      </c>
      <c r="AW156" s="30">
        <v>1524.4349999999999</v>
      </c>
      <c r="AX156" s="31">
        <f t="shared" si="642"/>
        <v>1772.7059999999999</v>
      </c>
      <c r="AY156" s="25">
        <f>SUM(AX154:AX156)</f>
        <v>4993.5529999999999</v>
      </c>
      <c r="AZ156" s="25">
        <f>SUM(AS154:AS156)</f>
        <v>757.18283333333329</v>
      </c>
      <c r="BA156" s="25">
        <f>SUM(AR154:AR156)</f>
        <v>4543.0969999999998</v>
      </c>
      <c r="BB156" s="31">
        <f t="shared" si="650"/>
        <v>6.5949104762676214</v>
      </c>
      <c r="BC156" s="31">
        <f t="shared" si="651"/>
        <v>1.0991517460446036</v>
      </c>
      <c r="BD156" s="27" t="s">
        <v>68</v>
      </c>
      <c r="BE156" s="32">
        <f>0.83*O156</f>
        <v>335.86946</v>
      </c>
      <c r="BF156" s="34">
        <v>0</v>
      </c>
      <c r="BG156" s="34">
        <f>0.3*O156</f>
        <v>121.3986</v>
      </c>
      <c r="BH156" s="32">
        <f t="shared" si="652"/>
        <v>121.3986</v>
      </c>
      <c r="BI156" s="34">
        <v>11.939</v>
      </c>
      <c r="BJ156" s="34">
        <v>0</v>
      </c>
      <c r="BK156" s="32">
        <f t="shared" si="653"/>
        <v>8.5602155716766202</v>
      </c>
      <c r="BL156" s="34">
        <v>0</v>
      </c>
      <c r="BM156" s="34">
        <v>44.2</v>
      </c>
      <c r="BN156" s="32">
        <f t="shared" si="654"/>
        <v>44.2</v>
      </c>
      <c r="BO156" s="34">
        <v>55.581000000000003</v>
      </c>
      <c r="BP156" s="34">
        <v>0</v>
      </c>
      <c r="BQ156" s="32">
        <f t="shared" si="655"/>
        <v>39.851356201470658</v>
      </c>
      <c r="BR156" s="34">
        <v>1871.835</v>
      </c>
      <c r="BS156" s="34">
        <v>2610.663</v>
      </c>
      <c r="BT156" s="201">
        <f t="shared" si="656"/>
        <v>0.71699602744590163</v>
      </c>
      <c r="BU156" s="35">
        <f t="shared" si="657"/>
        <v>549.87963177314737</v>
      </c>
      <c r="BV156" s="31">
        <f t="shared" si="658"/>
        <v>8.153169288539285</v>
      </c>
      <c r="BW156" s="31">
        <f t="shared" si="659"/>
        <v>1.3588615480898807</v>
      </c>
      <c r="BX156" s="27"/>
      <c r="BY156" s="90">
        <f t="shared" si="660"/>
        <v>2322.5856317731473</v>
      </c>
      <c r="BZ156" s="38">
        <f t="shared" si="661"/>
        <v>232.25856317731473</v>
      </c>
      <c r="CA156" s="140">
        <f t="shared" si="662"/>
        <v>0.13101922325377965</v>
      </c>
      <c r="CB156" s="38">
        <f t="shared" si="663"/>
        <v>3.4437416388588211</v>
      </c>
      <c r="CC156" s="38">
        <f t="shared" si="664"/>
        <v>0.57395693980980356</v>
      </c>
      <c r="CD156" s="38">
        <f t="shared" si="665"/>
        <v>26.284247100048926</v>
      </c>
      <c r="CE156" s="38">
        <f t="shared" si="665"/>
        <v>4.3807078500081547</v>
      </c>
      <c r="CF156" s="38">
        <f t="shared" si="666"/>
        <v>14.748079764806906</v>
      </c>
      <c r="CG156" s="38">
        <f t="shared" si="667"/>
        <v>18.191821403665728</v>
      </c>
      <c r="CH156" s="38">
        <f t="shared" si="668"/>
        <v>41.032326864855833</v>
      </c>
      <c r="CI156" s="38">
        <f t="shared" si="669"/>
        <v>2.4580132941344841</v>
      </c>
      <c r="CJ156" s="38">
        <f t="shared" si="670"/>
        <v>3.0319702339442878</v>
      </c>
      <c r="CK156" s="38">
        <f t="shared" si="671"/>
        <v>6.8387211441426388</v>
      </c>
      <c r="CL156" s="37">
        <v>4</v>
      </c>
      <c r="CM156" s="38">
        <f t="shared" si="672"/>
        <v>1.4748079764806907</v>
      </c>
      <c r="CN156" s="38">
        <f t="shared" si="673"/>
        <v>99.466457563104882</v>
      </c>
      <c r="CO156" s="145">
        <f t="shared" si="674"/>
        <v>5.6109957073031222E-2</v>
      </c>
      <c r="CP156" s="63"/>
      <c r="CQ156" s="327">
        <v>712</v>
      </c>
      <c r="CS156" s="271"/>
      <c r="CT156" s="133"/>
      <c r="CU156" s="133"/>
      <c r="CV156" s="133"/>
      <c r="CW156" s="133"/>
      <c r="CX156" s="133"/>
      <c r="CY156" s="133"/>
      <c r="CZ156" s="133"/>
      <c r="DA156" s="133"/>
      <c r="DB156" s="133"/>
      <c r="DC156" s="133"/>
      <c r="DD156" s="133"/>
      <c r="DE156" s="273"/>
      <c r="DF156" s="273"/>
      <c r="DG156" s="273"/>
      <c r="DH156" s="132"/>
      <c r="DI156" s="132"/>
      <c r="DJ156" s="132"/>
      <c r="DK156" s="132"/>
      <c r="DL156" s="132"/>
      <c r="DM156" s="132"/>
      <c r="DN156" s="132"/>
      <c r="DO156" s="132"/>
      <c r="DP156" s="132"/>
      <c r="DQ156" s="132"/>
      <c r="DR156" s="132"/>
      <c r="DS156" s="132"/>
      <c r="DT156" s="276"/>
      <c r="DU156" s="276"/>
      <c r="DV156" s="276"/>
      <c r="DW156" s="279"/>
      <c r="DX156" s="279"/>
      <c r="DY156" s="279"/>
      <c r="DZ156" s="279"/>
      <c r="EA156" s="279"/>
      <c r="EB156" s="279"/>
      <c r="EC156" s="279"/>
      <c r="ED156" s="279"/>
      <c r="EE156" s="279"/>
      <c r="EF156" s="279"/>
      <c r="EG156" s="279"/>
      <c r="EH156" s="279"/>
      <c r="EI156" s="281"/>
      <c r="EJ156" s="281"/>
      <c r="EK156" s="295"/>
      <c r="EL156" s="343">
        <v>79.48</v>
      </c>
      <c r="EM156" s="343">
        <v>4.37</v>
      </c>
      <c r="EN156" s="343">
        <v>11.83</v>
      </c>
      <c r="EO156" s="116"/>
      <c r="EP156" s="116"/>
      <c r="EQ156" s="116"/>
      <c r="ER156" s="116"/>
      <c r="ES156" s="116"/>
      <c r="ET156" s="116"/>
      <c r="EU156" s="116"/>
      <c r="EV156" s="116"/>
      <c r="EW156" s="116"/>
      <c r="EX156" s="116"/>
      <c r="EY156" s="116"/>
      <c r="EZ156" s="116"/>
    </row>
    <row r="157" spans="1:156" ht="27.75" customHeight="1" x14ac:dyDescent="0.3">
      <c r="A157" s="24" t="s">
        <v>66</v>
      </c>
      <c r="B157" s="24" t="s">
        <v>67</v>
      </c>
      <c r="C157" s="1">
        <v>2011</v>
      </c>
      <c r="D157" s="25">
        <v>499.43299999999999</v>
      </c>
      <c r="E157" s="25">
        <v>9.7000000000000003E-2</v>
      </c>
      <c r="F157" s="25">
        <v>0</v>
      </c>
      <c r="G157" s="25">
        <f t="shared" si="524"/>
        <v>83.335833333333326</v>
      </c>
      <c r="H157" s="25">
        <f t="shared" si="525"/>
        <v>500.01499999999999</v>
      </c>
      <c r="I157" s="25">
        <v>0</v>
      </c>
      <c r="J157" s="25">
        <v>0</v>
      </c>
      <c r="K157" s="25">
        <v>0</v>
      </c>
      <c r="L157" s="25">
        <f t="shared" si="526"/>
        <v>0</v>
      </c>
      <c r="M157" s="25">
        <f t="shared" si="527"/>
        <v>0</v>
      </c>
      <c r="N157" s="25">
        <f t="shared" si="309"/>
        <v>83.335833333333326</v>
      </c>
      <c r="O157" s="25">
        <f t="shared" si="309"/>
        <v>500.01499999999999</v>
      </c>
      <c r="P157" s="26">
        <f t="shared" si="528"/>
        <v>1</v>
      </c>
      <c r="Q157" s="26">
        <f t="shared" si="572"/>
        <v>0.99883603491895245</v>
      </c>
      <c r="R157" s="26">
        <f t="shared" si="385"/>
        <v>1.1639650810475687E-3</v>
      </c>
      <c r="S157" s="26">
        <f t="shared" si="386"/>
        <v>0</v>
      </c>
      <c r="T157" s="207">
        <v>13</v>
      </c>
      <c r="U157" s="207">
        <v>0</v>
      </c>
      <c r="V157" s="207">
        <v>2633.1889999999999</v>
      </c>
      <c r="W157" s="25">
        <f t="shared" si="643"/>
        <v>2711.1889999999999</v>
      </c>
      <c r="X157" s="25">
        <f t="shared" si="645"/>
        <v>192.44699999999966</v>
      </c>
      <c r="Y157" s="25">
        <f t="shared" si="644"/>
        <v>451.86483333333331</v>
      </c>
      <c r="Z157" s="25">
        <f t="shared" si="646"/>
        <v>32.074499999999944</v>
      </c>
      <c r="AA157" s="204">
        <f t="shared" si="647"/>
        <v>7.6405999502926314E-2</v>
      </c>
      <c r="AB157" s="27"/>
      <c r="AC157" s="28">
        <v>34.505000000000003</v>
      </c>
      <c r="AD157" s="28">
        <v>1459.4280000000001</v>
      </c>
      <c r="AE157" s="28">
        <v>1.2999999999999999E-2</v>
      </c>
      <c r="AF157" s="28">
        <v>0</v>
      </c>
      <c r="AG157" s="29">
        <f t="shared" si="649"/>
        <v>1493.9460000000001</v>
      </c>
      <c r="AH157" s="28">
        <v>1.2190000000000001</v>
      </c>
      <c r="AI157" s="28">
        <v>-0.125</v>
      </c>
      <c r="AJ157" s="28">
        <v>0</v>
      </c>
      <c r="AK157" s="28">
        <v>0</v>
      </c>
      <c r="AL157" s="29">
        <f t="shared" si="536"/>
        <v>1.0940000000000001</v>
      </c>
      <c r="AM157" s="28">
        <v>0</v>
      </c>
      <c r="AN157" s="28">
        <v>0</v>
      </c>
      <c r="AO157" s="28">
        <v>0</v>
      </c>
      <c r="AP157" s="28">
        <v>0</v>
      </c>
      <c r="AQ157" s="29">
        <f t="shared" si="648"/>
        <v>0</v>
      </c>
      <c r="AR157" s="29">
        <f t="shared" si="531"/>
        <v>1500.5100000000002</v>
      </c>
      <c r="AS157" s="29">
        <f t="shared" si="532"/>
        <v>250.08500000000001</v>
      </c>
      <c r="AT157" s="30">
        <f>262.886-0.2</f>
        <v>262.68600000000004</v>
      </c>
      <c r="AU157" s="30">
        <v>1.7000000000000001E-2</v>
      </c>
      <c r="AV157" s="30">
        <f>63.419-18.4</f>
        <v>45.018999999999998</v>
      </c>
      <c r="AW157" s="30">
        <v>1633.7840000000001</v>
      </c>
      <c r="AX157" s="31">
        <f t="shared" si="642"/>
        <v>1941.5060000000001</v>
      </c>
      <c r="AY157" s="25">
        <f>SUM(AX155:AX157)</f>
        <v>5244.0879999999997</v>
      </c>
      <c r="AZ157" s="25">
        <f>SUM(AS155:AS157)</f>
        <v>837.55433333333326</v>
      </c>
      <c r="BA157" s="25">
        <f>SUM(AR155:AR157)</f>
        <v>5025.326</v>
      </c>
      <c r="BB157" s="31">
        <f t="shared" si="650"/>
        <v>6.261191413253588</v>
      </c>
      <c r="BC157" s="31">
        <f t="shared" si="651"/>
        <v>1.0435319022089313</v>
      </c>
      <c r="BD157" s="27" t="s">
        <v>68</v>
      </c>
      <c r="BE157" s="32">
        <f>0.84*O157</f>
        <v>420.01259999999996</v>
      </c>
      <c r="BF157" s="34">
        <v>0</v>
      </c>
      <c r="BG157" s="34">
        <f>0.27*O157</f>
        <v>135.00405000000001</v>
      </c>
      <c r="BH157" s="32">
        <f t="shared" si="652"/>
        <v>135.00405000000001</v>
      </c>
      <c r="BI157" s="34">
        <v>4.1980000000000004</v>
      </c>
      <c r="BJ157" s="34">
        <v>0</v>
      </c>
      <c r="BK157" s="32">
        <f t="shared" si="653"/>
        <v>2.969538021964476</v>
      </c>
      <c r="BL157" s="34">
        <v>0</v>
      </c>
      <c r="BM157" s="34">
        <v>53.95</v>
      </c>
      <c r="BN157" s="32">
        <f t="shared" si="654"/>
        <v>53.95</v>
      </c>
      <c r="BO157" s="34">
        <v>65.421000000000006</v>
      </c>
      <c r="BP157" s="34">
        <v>0</v>
      </c>
      <c r="BQ157" s="32">
        <f t="shared" si="655"/>
        <v>46.276833476640782</v>
      </c>
      <c r="BR157" s="34">
        <v>2088.7629999999999</v>
      </c>
      <c r="BS157" s="34">
        <v>2952.8589999999999</v>
      </c>
      <c r="BT157" s="201">
        <f t="shared" si="656"/>
        <v>0.70736970508920338</v>
      </c>
      <c r="BU157" s="35">
        <f t="shared" si="657"/>
        <v>658.21302149860526</v>
      </c>
      <c r="BV157" s="31">
        <f t="shared" si="658"/>
        <v>7.8983193084040115</v>
      </c>
      <c r="BW157" s="31">
        <f t="shared" si="659"/>
        <v>1.3163865514006685</v>
      </c>
      <c r="BX157" s="27"/>
      <c r="BY157" s="90">
        <f t="shared" si="660"/>
        <v>2599.7190214986053</v>
      </c>
      <c r="BZ157" s="38">
        <f t="shared" si="661"/>
        <v>259.97190214986057</v>
      </c>
      <c r="CA157" s="140">
        <f t="shared" si="662"/>
        <v>0.13390218837843434</v>
      </c>
      <c r="CB157" s="38">
        <f t="shared" si="663"/>
        <v>3.1195692387211653</v>
      </c>
      <c r="CC157" s="38">
        <f t="shared" si="664"/>
        <v>0.51992820645352755</v>
      </c>
      <c r="CD157" s="38">
        <f t="shared" si="665"/>
        <v>23.297373078807638</v>
      </c>
      <c r="CE157" s="38">
        <f t="shared" si="665"/>
        <v>3.8828955131346063</v>
      </c>
      <c r="CF157" s="38">
        <f t="shared" si="666"/>
        <v>14.1595107216576</v>
      </c>
      <c r="CG157" s="38">
        <f t="shared" si="667"/>
        <v>17.279079960378766</v>
      </c>
      <c r="CH157" s="38">
        <f t="shared" si="668"/>
        <v>37.456883800465235</v>
      </c>
      <c r="CI157" s="38">
        <f t="shared" si="669"/>
        <v>2.3599184536096001</v>
      </c>
      <c r="CJ157" s="38">
        <f t="shared" si="670"/>
        <v>2.8798466600631274</v>
      </c>
      <c r="CK157" s="38">
        <f t="shared" si="671"/>
        <v>6.2428139667442064</v>
      </c>
      <c r="CL157" s="37">
        <v>4</v>
      </c>
      <c r="CM157" s="38">
        <f t="shared" si="672"/>
        <v>1.41595107216576</v>
      </c>
      <c r="CN157" s="38">
        <f t="shared" si="673"/>
        <v>117.9994625581604</v>
      </c>
      <c r="CO157" s="145">
        <f t="shared" si="674"/>
        <v>6.0777284519419668E-2</v>
      </c>
      <c r="CP157" s="63"/>
      <c r="CQ157" s="327">
        <v>943</v>
      </c>
      <c r="CS157" s="271"/>
      <c r="CT157" s="133"/>
      <c r="CU157" s="133"/>
      <c r="CV157" s="133"/>
      <c r="CW157" s="133"/>
      <c r="CX157" s="133"/>
      <c r="CY157" s="133"/>
      <c r="CZ157" s="133"/>
      <c r="DA157" s="133"/>
      <c r="DB157" s="133"/>
      <c r="DC157" s="133"/>
      <c r="DD157" s="133"/>
      <c r="DE157" s="273"/>
      <c r="DF157" s="273"/>
      <c r="DG157" s="273"/>
      <c r="DH157" s="132"/>
      <c r="DI157" s="132"/>
      <c r="DJ157" s="132"/>
      <c r="DK157" s="132"/>
      <c r="DL157" s="132"/>
      <c r="DM157" s="132"/>
      <c r="DN157" s="132"/>
      <c r="DO157" s="132"/>
      <c r="DP157" s="132"/>
      <c r="DQ157" s="132"/>
      <c r="DR157" s="132"/>
      <c r="DS157" s="132"/>
      <c r="DT157" s="276"/>
      <c r="DU157" s="276"/>
      <c r="DV157" s="276"/>
      <c r="DW157" s="279"/>
      <c r="DX157" s="279"/>
      <c r="DY157" s="279"/>
      <c r="DZ157" s="279"/>
      <c r="EA157" s="279"/>
      <c r="EB157" s="279"/>
      <c r="EC157" s="279"/>
      <c r="ED157" s="279"/>
      <c r="EE157" s="279"/>
      <c r="EF157" s="279"/>
      <c r="EG157" s="279"/>
      <c r="EH157" s="279"/>
      <c r="EI157" s="281"/>
      <c r="EJ157" s="281"/>
      <c r="EK157" s="295"/>
      <c r="EL157" s="343">
        <v>94.88</v>
      </c>
      <c r="EM157" s="343">
        <v>4</v>
      </c>
      <c r="EN157" s="343">
        <v>15.12</v>
      </c>
      <c r="EO157" s="116"/>
      <c r="EP157" s="116"/>
      <c r="EQ157" s="116"/>
      <c r="ER157" s="116"/>
      <c r="ES157" s="116"/>
      <c r="ET157" s="116"/>
      <c r="EU157" s="116"/>
      <c r="EV157" s="116"/>
      <c r="EW157" s="116"/>
      <c r="EX157" s="116"/>
      <c r="EY157" s="116"/>
      <c r="EZ157" s="116"/>
    </row>
    <row r="158" spans="1:156" ht="27.75" customHeight="1" x14ac:dyDescent="0.3">
      <c r="A158" s="39" t="s">
        <v>66</v>
      </c>
      <c r="B158" s="39" t="s">
        <v>67</v>
      </c>
      <c r="C158" s="22">
        <v>2012</v>
      </c>
      <c r="D158" s="25">
        <v>564.48400000000004</v>
      </c>
      <c r="E158" s="25">
        <v>8.3000000000000004E-2</v>
      </c>
      <c r="F158" s="25">
        <v>0</v>
      </c>
      <c r="G158" s="25">
        <f t="shared" si="524"/>
        <v>94.163666666666671</v>
      </c>
      <c r="H158" s="25">
        <f t="shared" si="525"/>
        <v>564.98200000000008</v>
      </c>
      <c r="I158" s="25">
        <v>0</v>
      </c>
      <c r="J158" s="25">
        <v>0</v>
      </c>
      <c r="K158" s="25">
        <v>0</v>
      </c>
      <c r="L158" s="25">
        <f t="shared" si="526"/>
        <v>0</v>
      </c>
      <c r="M158" s="25">
        <f t="shared" si="527"/>
        <v>0</v>
      </c>
      <c r="N158" s="25">
        <f t="shared" si="309"/>
        <v>94.163666666666671</v>
      </c>
      <c r="O158" s="25">
        <f t="shared" si="309"/>
        <v>564.98200000000008</v>
      </c>
      <c r="P158" s="26">
        <f t="shared" si="528"/>
        <v>1</v>
      </c>
      <c r="Q158" s="26">
        <f t="shared" si="572"/>
        <v>0.99911855598939425</v>
      </c>
      <c r="R158" s="26">
        <f t="shared" si="385"/>
        <v>8.8144401060564765E-4</v>
      </c>
      <c r="S158" s="26">
        <f t="shared" si="386"/>
        <v>0</v>
      </c>
      <c r="T158" s="207">
        <v>1</v>
      </c>
      <c r="U158" s="207">
        <v>0</v>
      </c>
      <c r="V158" s="207">
        <v>821</v>
      </c>
      <c r="W158" s="25">
        <f t="shared" si="643"/>
        <v>827</v>
      </c>
      <c r="X158" s="25">
        <f t="shared" si="645"/>
        <v>-1884.1889999999999</v>
      </c>
      <c r="Y158" s="25">
        <f t="shared" si="644"/>
        <v>137.83333333333334</v>
      </c>
      <c r="Z158" s="25">
        <f t="shared" si="646"/>
        <v>-314.03149999999994</v>
      </c>
      <c r="AA158" s="204">
        <f t="shared" si="647"/>
        <v>-0.69496777981911251</v>
      </c>
      <c r="AB158" s="27"/>
      <c r="AC158" s="28">
        <v>-2087.9850000000001</v>
      </c>
      <c r="AD158" s="28">
        <v>918.59400000000005</v>
      </c>
      <c r="AE158" s="28">
        <v>0</v>
      </c>
      <c r="AF158" s="28">
        <v>0</v>
      </c>
      <c r="AG158" s="29">
        <f t="shared" si="649"/>
        <v>-1169.3910000000001</v>
      </c>
      <c r="AH158" s="28">
        <v>-4.3999999999999997E-2</v>
      </c>
      <c r="AI158" s="28">
        <v>0.154</v>
      </c>
      <c r="AJ158" s="28">
        <v>0</v>
      </c>
      <c r="AK158" s="28">
        <v>0</v>
      </c>
      <c r="AL158" s="29">
        <f t="shared" si="536"/>
        <v>0.11</v>
      </c>
      <c r="AM158" s="28">
        <v>0</v>
      </c>
      <c r="AN158" s="28">
        <v>0</v>
      </c>
      <c r="AO158" s="28">
        <v>0</v>
      </c>
      <c r="AP158" s="28">
        <v>0</v>
      </c>
      <c r="AQ158" s="29">
        <f t="shared" si="648"/>
        <v>0</v>
      </c>
      <c r="AR158" s="29">
        <f t="shared" si="531"/>
        <v>-1168.731</v>
      </c>
      <c r="AS158" s="29">
        <f t="shared" si="532"/>
        <v>-194.7885</v>
      </c>
      <c r="AT158" s="30">
        <f>220.822-3.6</f>
        <v>217.22200000000001</v>
      </c>
      <c r="AU158" s="30">
        <v>0</v>
      </c>
      <c r="AV158" s="30">
        <f>197.28-2.5</f>
        <v>194.78</v>
      </c>
      <c r="AW158" s="30">
        <v>1492.8409999999999</v>
      </c>
      <c r="AX158" s="31">
        <f t="shared" si="642"/>
        <v>1904.8429999999998</v>
      </c>
      <c r="AY158" s="25">
        <f>SUM(AX156:AX158)</f>
        <v>5619.0550000000003</v>
      </c>
      <c r="AZ158" s="25">
        <f>SUM(AS156:AS158)</f>
        <v>346.42499999999995</v>
      </c>
      <c r="BA158" s="25">
        <f>SUM(AR156:AR158)</f>
        <v>2078.5500000000002</v>
      </c>
      <c r="BB158" s="31">
        <f t="shared" si="650"/>
        <v>16.220119795049438</v>
      </c>
      <c r="BC158" s="31">
        <f t="shared" si="651"/>
        <v>2.7033532991749056</v>
      </c>
      <c r="BD158" s="27" t="s">
        <v>68</v>
      </c>
      <c r="BE158" s="40">
        <f>0.8*O158</f>
        <v>451.98560000000009</v>
      </c>
      <c r="BF158" s="34">
        <v>0</v>
      </c>
      <c r="BG158" s="34">
        <f>0.26*O158</f>
        <v>146.89532000000003</v>
      </c>
      <c r="BH158" s="32">
        <f t="shared" si="652"/>
        <v>146.89532000000003</v>
      </c>
      <c r="BI158" s="34">
        <v>0.81799999999999995</v>
      </c>
      <c r="BJ158" s="34">
        <v>0</v>
      </c>
      <c r="BK158" s="32">
        <f t="shared" si="653"/>
        <v>0.58878021978021977</v>
      </c>
      <c r="BL158" s="34">
        <v>0</v>
      </c>
      <c r="BM158" s="34">
        <v>56.262</v>
      </c>
      <c r="BN158" s="32">
        <f t="shared" si="654"/>
        <v>56.262</v>
      </c>
      <c r="BO158" s="34">
        <v>96.296000000000006</v>
      </c>
      <c r="BP158" s="34">
        <v>0</v>
      </c>
      <c r="BQ158" s="32">
        <f t="shared" si="655"/>
        <v>69.311956043956044</v>
      </c>
      <c r="BR158" s="34">
        <v>1965</v>
      </c>
      <c r="BS158" s="34">
        <v>2730</v>
      </c>
      <c r="BT158" s="201">
        <f t="shared" si="656"/>
        <v>0.71978021978021978</v>
      </c>
      <c r="BU158" s="35">
        <f t="shared" si="657"/>
        <v>725.04365626373635</v>
      </c>
      <c r="BV158" s="31">
        <f t="shared" si="658"/>
        <v>7.6998239547143408</v>
      </c>
      <c r="BW158" s="31">
        <f t="shared" si="659"/>
        <v>1.2833039924523901</v>
      </c>
      <c r="BX158" s="27"/>
      <c r="BY158" s="90">
        <f t="shared" si="660"/>
        <v>2629.8866562637363</v>
      </c>
      <c r="BZ158" s="38">
        <f t="shared" si="661"/>
        <v>262.98866562637363</v>
      </c>
      <c r="CA158" s="140">
        <f t="shared" si="662"/>
        <v>0.1380631714143232</v>
      </c>
      <c r="CB158" s="38">
        <f t="shared" si="663"/>
        <v>2.7928889659462457</v>
      </c>
      <c r="CC158" s="38">
        <f t="shared" si="664"/>
        <v>0.46548149432437419</v>
      </c>
      <c r="CD158" s="38">
        <f t="shared" si="665"/>
        <v>20.229065704748113</v>
      </c>
      <c r="CE158" s="38">
        <f t="shared" si="665"/>
        <v>3.3715109507913517</v>
      </c>
      <c r="CF158" s="38">
        <f t="shared" si="666"/>
        <v>23.919943749763778</v>
      </c>
      <c r="CG158" s="38">
        <f t="shared" si="667"/>
        <v>26.712832715710025</v>
      </c>
      <c r="CH158" s="38">
        <f t="shared" si="668"/>
        <v>44.149009454511891</v>
      </c>
      <c r="CI158" s="38">
        <f t="shared" si="669"/>
        <v>3.9866572916272958</v>
      </c>
      <c r="CJ158" s="38">
        <f t="shared" si="670"/>
        <v>4.4521387859516697</v>
      </c>
      <c r="CK158" s="38">
        <f t="shared" si="671"/>
        <v>7.3581682424186479</v>
      </c>
      <c r="CL158" s="37">
        <v>4</v>
      </c>
      <c r="CM158" s="38">
        <f t="shared" si="672"/>
        <v>2.3919943749763779</v>
      </c>
      <c r="CN158" s="38">
        <f t="shared" si="673"/>
        <v>225.23896099381733</v>
      </c>
      <c r="CO158" s="145">
        <f t="shared" si="674"/>
        <v>0.11824542022298812</v>
      </c>
      <c r="CP158" s="63"/>
      <c r="CQ158" s="327">
        <v>1023.888</v>
      </c>
      <c r="CS158" s="270">
        <f>+CT158*CU158</f>
        <v>463.88400000000001</v>
      </c>
      <c r="CT158" s="269">
        <v>133.30000000000001</v>
      </c>
      <c r="CU158" s="133">
        <v>3.48</v>
      </c>
      <c r="CV158" s="269">
        <f>+CW158*CX158</f>
        <v>428.06399999999996</v>
      </c>
      <c r="CW158" s="269">
        <v>137.19999999999999</v>
      </c>
      <c r="CX158" s="133">
        <v>3.12</v>
      </c>
      <c r="CY158" s="269">
        <f>+CZ158*DA158</f>
        <v>491.72199999999998</v>
      </c>
      <c r="CZ158" s="269">
        <v>144.19999999999999</v>
      </c>
      <c r="DA158" s="133">
        <v>3.41</v>
      </c>
      <c r="DB158" s="269">
        <f t="shared" ref="DB158:DC162" si="675">+DE158-CS158-CV158-CY158</f>
        <v>559.93000000000006</v>
      </c>
      <c r="DC158" s="269">
        <f t="shared" si="675"/>
        <v>150.30000000000001</v>
      </c>
      <c r="DD158" s="133">
        <f>+DB158/DC158</f>
        <v>3.7254158349966735</v>
      </c>
      <c r="DE158" s="274">
        <f>+DF158*DG158</f>
        <v>1943.6</v>
      </c>
      <c r="DF158" s="274">
        <v>565</v>
      </c>
      <c r="DG158" s="273">
        <v>3.44</v>
      </c>
      <c r="DH158" s="272">
        <f>+DI158*DJ158</f>
        <v>2.50536</v>
      </c>
      <c r="DI158" s="272">
        <v>2.4E-2</v>
      </c>
      <c r="DJ158" s="296">
        <v>104.39</v>
      </c>
      <c r="DK158" s="272">
        <f>+DL158*DM158</f>
        <v>1.6710400000000001</v>
      </c>
      <c r="DL158" s="272">
        <v>1.6E-2</v>
      </c>
      <c r="DM158" s="296">
        <v>104.44</v>
      </c>
      <c r="DN158" s="272">
        <f>+DO158*DP158</f>
        <v>1.8937299999999999</v>
      </c>
      <c r="DO158" s="272">
        <v>1.9E-2</v>
      </c>
      <c r="DP158" s="296">
        <v>99.67</v>
      </c>
      <c r="DQ158" s="272">
        <f t="shared" ref="DQ158:DR162" si="676">+DT158-DN158-DK158-DH158</f>
        <v>2.3576900000000012</v>
      </c>
      <c r="DR158" s="272">
        <f t="shared" si="676"/>
        <v>2.4E-2</v>
      </c>
      <c r="DS158" s="296">
        <f>+DQ158/DR158</f>
        <v>98.237083333333374</v>
      </c>
      <c r="DT158" s="277">
        <f>+DU158*DV158</f>
        <v>8.4278200000000005</v>
      </c>
      <c r="DU158" s="277">
        <v>8.3000000000000004E-2</v>
      </c>
      <c r="DV158" s="297">
        <v>101.54</v>
      </c>
      <c r="DW158" s="99"/>
      <c r="DX158" s="99"/>
      <c r="DY158" s="298"/>
      <c r="DZ158" s="99"/>
      <c r="EA158" s="99"/>
      <c r="EB158" s="298"/>
      <c r="EC158" s="99"/>
      <c r="ED158" s="99"/>
      <c r="EE158" s="298"/>
      <c r="EF158" s="99"/>
      <c r="EG158" s="99"/>
      <c r="EH158" s="298"/>
      <c r="EI158" s="282"/>
      <c r="EJ158" s="282"/>
      <c r="EK158" s="299"/>
      <c r="EL158" s="344">
        <v>94.05</v>
      </c>
      <c r="EM158" s="344">
        <v>2.75</v>
      </c>
      <c r="EN158" s="344">
        <v>10.98</v>
      </c>
      <c r="EO158" s="74">
        <v>2.41</v>
      </c>
      <c r="EP158" s="74">
        <v>2.2799999999999998</v>
      </c>
      <c r="EQ158" s="74">
        <v>2.88</v>
      </c>
      <c r="ER158" s="74">
        <v>3.4</v>
      </c>
      <c r="ES158" s="74">
        <v>13.14</v>
      </c>
      <c r="ET158" s="74">
        <v>10.75</v>
      </c>
      <c r="EU158" s="74">
        <v>9.9600000000000009</v>
      </c>
      <c r="EV158" s="74">
        <v>10.08</v>
      </c>
      <c r="EW158" s="74">
        <v>102.98</v>
      </c>
      <c r="EX158" s="74">
        <v>93.29</v>
      </c>
      <c r="EY158" s="74">
        <v>92.17</v>
      </c>
      <c r="EZ158" s="74">
        <v>88.01</v>
      </c>
    </row>
    <row r="159" spans="1:156" ht="27.75" customHeight="1" x14ac:dyDescent="0.3">
      <c r="A159" s="43" t="s">
        <v>66</v>
      </c>
      <c r="B159" s="43" t="s">
        <v>67</v>
      </c>
      <c r="C159" s="53">
        <v>2013</v>
      </c>
      <c r="D159" s="52">
        <v>655.70399999999995</v>
      </c>
      <c r="E159" s="52">
        <v>0.188</v>
      </c>
      <c r="F159" s="52">
        <v>0</v>
      </c>
      <c r="G159" s="52">
        <f t="shared" si="524"/>
        <v>109.47199999999999</v>
      </c>
      <c r="H159" s="52">
        <f t="shared" si="525"/>
        <v>656.83199999999999</v>
      </c>
      <c r="I159" s="52">
        <v>0</v>
      </c>
      <c r="J159" s="52">
        <v>0</v>
      </c>
      <c r="K159" s="52">
        <v>0</v>
      </c>
      <c r="L159" s="52">
        <f t="shared" si="526"/>
        <v>0</v>
      </c>
      <c r="M159" s="52">
        <f t="shared" si="527"/>
        <v>0</v>
      </c>
      <c r="N159" s="52">
        <f t="shared" si="309"/>
        <v>109.47199999999999</v>
      </c>
      <c r="O159" s="52">
        <f t="shared" si="309"/>
        <v>656.83199999999999</v>
      </c>
      <c r="P159" s="54">
        <f t="shared" si="528"/>
        <v>1</v>
      </c>
      <c r="Q159" s="54">
        <f t="shared" si="572"/>
        <v>0.99828266588716741</v>
      </c>
      <c r="R159" s="54">
        <f t="shared" si="385"/>
        <v>1.7173341128325051E-3</v>
      </c>
      <c r="S159" s="54">
        <f t="shared" si="386"/>
        <v>0</v>
      </c>
      <c r="T159" s="208">
        <v>1</v>
      </c>
      <c r="U159" s="208">
        <v>0</v>
      </c>
      <c r="V159" s="208">
        <v>2737</v>
      </c>
      <c r="W159" s="52">
        <f t="shared" si="643"/>
        <v>2743</v>
      </c>
      <c r="X159" s="52">
        <f t="shared" si="645"/>
        <v>1916</v>
      </c>
      <c r="Y159" s="52">
        <f t="shared" si="644"/>
        <v>457.16666666666669</v>
      </c>
      <c r="Z159" s="52">
        <f t="shared" si="646"/>
        <v>319.33333333333337</v>
      </c>
      <c r="AA159" s="205">
        <f t="shared" si="647"/>
        <v>2.3168077388149939</v>
      </c>
      <c r="AB159" s="44"/>
      <c r="AC159" s="45">
        <v>325.37400000000002</v>
      </c>
      <c r="AD159" s="45">
        <v>3283.4949999999999</v>
      </c>
      <c r="AE159" s="45">
        <v>4.1139999999999999</v>
      </c>
      <c r="AF159" s="45">
        <v>0</v>
      </c>
      <c r="AG159" s="55">
        <f t="shared" si="649"/>
        <v>3612.9829999999997</v>
      </c>
      <c r="AH159" s="45">
        <v>8.7999999999999995E-2</v>
      </c>
      <c r="AI159" s="45">
        <v>0.22900000000000001</v>
      </c>
      <c r="AJ159" s="45">
        <v>0</v>
      </c>
      <c r="AK159" s="45">
        <v>0</v>
      </c>
      <c r="AL159" s="55">
        <f t="shared" si="536"/>
        <v>0.317</v>
      </c>
      <c r="AM159" s="45">
        <v>0</v>
      </c>
      <c r="AN159" s="45">
        <v>0</v>
      </c>
      <c r="AO159" s="45">
        <v>0</v>
      </c>
      <c r="AP159" s="45">
        <v>0</v>
      </c>
      <c r="AQ159" s="55">
        <f t="shared" si="648"/>
        <v>0</v>
      </c>
      <c r="AR159" s="55">
        <f t="shared" si="531"/>
        <v>3614.8849999999998</v>
      </c>
      <c r="AS159" s="55">
        <f t="shared" si="532"/>
        <v>602.48083333333329</v>
      </c>
      <c r="AT159" s="46">
        <f>168.404-17.1</f>
        <v>151.304</v>
      </c>
      <c r="AU159" s="46">
        <v>0.57199999999999995</v>
      </c>
      <c r="AV159" s="46">
        <f>192.164-11.5</f>
        <v>180.66399999999999</v>
      </c>
      <c r="AW159" s="46">
        <v>1662.1379999999999</v>
      </c>
      <c r="AX159" s="50">
        <f t="shared" si="642"/>
        <v>1994.6779999999999</v>
      </c>
      <c r="AY159" s="52">
        <f>SUM(AX157:AX159)</f>
        <v>5841.027</v>
      </c>
      <c r="AZ159" s="52">
        <f>SUM(AS157:AS159)</f>
        <v>657.77733333333333</v>
      </c>
      <c r="BA159" s="52">
        <f>SUM(AR157:AR159)</f>
        <v>3946.6639999999998</v>
      </c>
      <c r="BB159" s="50">
        <f t="shared" si="650"/>
        <v>8.8799456959092549</v>
      </c>
      <c r="BC159" s="50">
        <f t="shared" si="651"/>
        <v>1.4799909493182091</v>
      </c>
      <c r="BD159" s="44" t="s">
        <v>68</v>
      </c>
      <c r="BE159" s="47">
        <f>0.86*O159</f>
        <v>564.87551999999994</v>
      </c>
      <c r="BF159" s="48">
        <v>0</v>
      </c>
      <c r="BG159" s="48">
        <f>0.24*O159</f>
        <v>157.63968</v>
      </c>
      <c r="BH159" s="47">
        <f t="shared" si="652"/>
        <v>157.63968</v>
      </c>
      <c r="BI159" s="48">
        <v>18.786999999999999</v>
      </c>
      <c r="BJ159" s="48">
        <v>0</v>
      </c>
      <c r="BK159" s="47">
        <f t="shared" si="653"/>
        <v>13.373985193959136</v>
      </c>
      <c r="BL159" s="48">
        <v>0</v>
      </c>
      <c r="BM159" s="48">
        <f>0.1*O159</f>
        <v>65.683199999999999</v>
      </c>
      <c r="BN159" s="47">
        <f t="shared" si="654"/>
        <v>65.683199999999999</v>
      </c>
      <c r="BO159" s="48">
        <v>100</v>
      </c>
      <c r="BP159" s="48">
        <v>0</v>
      </c>
      <c r="BQ159" s="47">
        <f t="shared" si="655"/>
        <v>71.187444477346759</v>
      </c>
      <c r="BR159" s="48">
        <v>2404</v>
      </c>
      <c r="BS159" s="48">
        <v>3377</v>
      </c>
      <c r="BT159" s="202">
        <f t="shared" si="656"/>
        <v>0.71187444477346762</v>
      </c>
      <c r="BU159" s="49">
        <f t="shared" si="657"/>
        <v>872.75982967130585</v>
      </c>
      <c r="BV159" s="50">
        <f t="shared" si="658"/>
        <v>7.9724480202362784</v>
      </c>
      <c r="BW159" s="50">
        <f t="shared" si="659"/>
        <v>1.3287413367060463</v>
      </c>
      <c r="BX159" s="44"/>
      <c r="BY159" s="91">
        <f t="shared" si="660"/>
        <v>2867.4378296713057</v>
      </c>
      <c r="BZ159" s="56">
        <f t="shared" si="661"/>
        <v>286.74378296713058</v>
      </c>
      <c r="CA159" s="141">
        <f t="shared" si="662"/>
        <v>0.14375442200050864</v>
      </c>
      <c r="CB159" s="56">
        <f t="shared" si="663"/>
        <v>2.619334468787732</v>
      </c>
      <c r="CC159" s="56">
        <f t="shared" si="664"/>
        <v>0.43655574479795534</v>
      </c>
      <c r="CD159" s="56">
        <f t="shared" si="665"/>
        <v>18.220896667641039</v>
      </c>
      <c r="CE159" s="56">
        <f t="shared" si="665"/>
        <v>3.0368161112735068</v>
      </c>
      <c r="CF159" s="56">
        <f t="shared" si="666"/>
        <v>16.852393716145535</v>
      </c>
      <c r="CG159" s="56">
        <f t="shared" si="667"/>
        <v>19.471728184933266</v>
      </c>
      <c r="CH159" s="56">
        <f t="shared" si="668"/>
        <v>35.073290383786571</v>
      </c>
      <c r="CI159" s="56">
        <f t="shared" si="669"/>
        <v>2.8087322860242554</v>
      </c>
      <c r="CJ159" s="38">
        <f t="shared" si="670"/>
        <v>3.245288030822211</v>
      </c>
      <c r="CK159" s="56">
        <f t="shared" si="671"/>
        <v>5.8455483972977618</v>
      </c>
      <c r="CL159" s="51">
        <v>4</v>
      </c>
      <c r="CM159" s="56">
        <f t="shared" si="672"/>
        <v>1.6852393716145535</v>
      </c>
      <c r="CN159" s="56">
        <f t="shared" si="673"/>
        <v>184.48652448938839</v>
      </c>
      <c r="CO159" s="145">
        <f t="shared" si="674"/>
        <v>9.2489376475495488E-2</v>
      </c>
      <c r="CP159" s="63"/>
      <c r="CQ159" s="327">
        <v>956.46900000000005</v>
      </c>
      <c r="CS159" s="270">
        <f>+CT159*CU159</f>
        <v>504.45</v>
      </c>
      <c r="CT159" s="269">
        <v>147.5</v>
      </c>
      <c r="CU159" s="133">
        <v>3.42</v>
      </c>
      <c r="CV159" s="269">
        <v>614</v>
      </c>
      <c r="CW159" s="269">
        <f>+CV159/CX159</f>
        <v>158.656330749354</v>
      </c>
      <c r="CX159" s="133">
        <v>3.87</v>
      </c>
      <c r="CY159" s="269">
        <f>+CZ159*DA159</f>
        <v>620.91999999999996</v>
      </c>
      <c r="CZ159" s="269">
        <v>172</v>
      </c>
      <c r="DA159" s="133">
        <v>3.61</v>
      </c>
      <c r="DB159" s="269">
        <f t="shared" si="675"/>
        <v>655.03000000000009</v>
      </c>
      <c r="DC159" s="269">
        <f t="shared" si="675"/>
        <v>177.84366925064603</v>
      </c>
      <c r="DD159" s="133">
        <f>+DB159/DC159</f>
        <v>3.6831786183899862</v>
      </c>
      <c r="DE159" s="274">
        <f>+DF159*DG159</f>
        <v>2394.4</v>
      </c>
      <c r="DF159" s="274">
        <v>656</v>
      </c>
      <c r="DG159" s="273">
        <v>3.65</v>
      </c>
      <c r="DH159" s="272">
        <f>+DI159*DJ159</f>
        <v>4.3841300000000007</v>
      </c>
      <c r="DI159" s="272">
        <v>4.1000000000000002E-2</v>
      </c>
      <c r="DJ159" s="296">
        <v>106.93</v>
      </c>
      <c r="DK159" s="272">
        <f>+DL159*DM159</f>
        <v>2.3834400000000002</v>
      </c>
      <c r="DL159" s="272">
        <v>2.4E-2</v>
      </c>
      <c r="DM159" s="296">
        <v>99.31</v>
      </c>
      <c r="DN159" s="272">
        <f>+DO159*DP159</f>
        <v>3.9486399999999997</v>
      </c>
      <c r="DO159" s="272">
        <v>3.6999999999999998E-2</v>
      </c>
      <c r="DP159" s="296">
        <v>106.72</v>
      </c>
      <c r="DQ159" s="272">
        <f t="shared" si="676"/>
        <v>3.5419499999999999</v>
      </c>
      <c r="DR159" s="272">
        <f t="shared" si="676"/>
        <v>3.6000000000000011E-2</v>
      </c>
      <c r="DS159" s="296">
        <f>+DQ159/DR159</f>
        <v>98.387499999999974</v>
      </c>
      <c r="DT159" s="277">
        <f>+DU159*DV159</f>
        <v>14.25816</v>
      </c>
      <c r="DU159" s="277">
        <v>0.13800000000000001</v>
      </c>
      <c r="DV159" s="297">
        <v>103.32</v>
      </c>
      <c r="DW159" s="99">
        <f>+DX159*DY159</f>
        <v>0.95940000000000003</v>
      </c>
      <c r="DX159" s="99">
        <v>0.02</v>
      </c>
      <c r="DY159" s="298">
        <v>47.97</v>
      </c>
      <c r="DZ159" s="99">
        <f>+EA159*EB159</f>
        <v>0.30104000000000003</v>
      </c>
      <c r="EA159" s="99">
        <v>8.0000000000000002E-3</v>
      </c>
      <c r="EB159" s="298">
        <v>37.630000000000003</v>
      </c>
      <c r="EC159" s="99">
        <f>+ED159*EE159</f>
        <v>0.50459999999999994</v>
      </c>
      <c r="ED159" s="99">
        <v>1.2E-2</v>
      </c>
      <c r="EE159" s="298">
        <v>42.05</v>
      </c>
      <c r="EF159" s="99">
        <f t="shared" ref="EF159:EG162" si="677">+EI159-EC159-DZ159-DW159</f>
        <v>0.41646000000000027</v>
      </c>
      <c r="EG159" s="99">
        <f t="shared" si="677"/>
        <v>1.0000000000000005E-2</v>
      </c>
      <c r="EH159" s="298">
        <f>+EF159/EG159</f>
        <v>41.646000000000008</v>
      </c>
      <c r="EI159" s="282">
        <f>+EJ159*EK159</f>
        <v>2.1815000000000002</v>
      </c>
      <c r="EJ159" s="282">
        <v>0.05</v>
      </c>
      <c r="EK159" s="299">
        <v>43.63</v>
      </c>
      <c r="EL159" s="344">
        <v>97.98</v>
      </c>
      <c r="EM159" s="344">
        <v>3.73</v>
      </c>
      <c r="EN159" s="344">
        <v>9.94</v>
      </c>
      <c r="EO159" s="74">
        <v>3.49</v>
      </c>
      <c r="EP159" s="74">
        <v>4.01</v>
      </c>
      <c r="EQ159" s="74">
        <v>3.56</v>
      </c>
      <c r="ER159" s="74">
        <v>3.85</v>
      </c>
      <c r="ES159" s="74">
        <v>9.77</v>
      </c>
      <c r="ET159" s="74">
        <v>9.39</v>
      </c>
      <c r="EU159" s="74">
        <v>10.01</v>
      </c>
      <c r="EV159" s="74">
        <v>10.53</v>
      </c>
      <c r="EW159" s="74">
        <v>94.33</v>
      </c>
      <c r="EX159" s="74">
        <v>94.05</v>
      </c>
      <c r="EY159" s="74">
        <v>105.83</v>
      </c>
      <c r="EZ159" s="74">
        <v>97.44</v>
      </c>
    </row>
    <row r="160" spans="1:156" s="225" customFormat="1" ht="27.75" customHeight="1" x14ac:dyDescent="0.3">
      <c r="A160" s="43" t="s">
        <v>66</v>
      </c>
      <c r="B160" s="43" t="s">
        <v>67</v>
      </c>
      <c r="C160" s="53">
        <v>2014</v>
      </c>
      <c r="D160" s="52">
        <v>765</v>
      </c>
      <c r="E160" s="52">
        <v>0.23499999999999999</v>
      </c>
      <c r="F160" s="52">
        <v>0.26100000000000001</v>
      </c>
      <c r="G160" s="52">
        <f>D160/6+E160+F160</f>
        <v>127.996</v>
      </c>
      <c r="H160" s="52">
        <f>D160+E160*6+F160*6</f>
        <v>767.976</v>
      </c>
      <c r="I160" s="52">
        <v>0</v>
      </c>
      <c r="J160" s="52">
        <v>0</v>
      </c>
      <c r="K160" s="52">
        <v>0</v>
      </c>
      <c r="L160" s="52">
        <f>I160/6+J160+K160</f>
        <v>0</v>
      </c>
      <c r="M160" s="52">
        <f>I160+J160*6+K160*6</f>
        <v>0</v>
      </c>
      <c r="N160" s="52">
        <f t="shared" ref="N160:O162" si="678">G160+L160</f>
        <v>127.996</v>
      </c>
      <c r="O160" s="52">
        <f t="shared" si="678"/>
        <v>767.976</v>
      </c>
      <c r="P160" s="54">
        <f>+H160/O160</f>
        <v>1</v>
      </c>
      <c r="Q160" s="54">
        <f>D160/H160</f>
        <v>0.9961248789024657</v>
      </c>
      <c r="R160" s="54">
        <f>E160/G160</f>
        <v>1.8359948748398387E-3</v>
      </c>
      <c r="S160" s="54">
        <f>F160/G160</f>
        <v>2.0391262226944593E-3</v>
      </c>
      <c r="T160" s="208">
        <v>30.17</v>
      </c>
      <c r="U160" s="208">
        <v>80.066999999999993</v>
      </c>
      <c r="V160" s="208">
        <v>4134</v>
      </c>
      <c r="W160" s="52">
        <f>+T160*6+U160*6+V160</f>
        <v>4795.4219999999996</v>
      </c>
      <c r="X160" s="52">
        <f>W160-W158</f>
        <v>3968.4219999999996</v>
      </c>
      <c r="Y160" s="52">
        <f>+T160+U160+V160/6</f>
        <v>799.23699999999997</v>
      </c>
      <c r="Z160" s="52">
        <f>Y160-Y158</f>
        <v>661.4036666666666</v>
      </c>
      <c r="AA160" s="205">
        <f>+Z160/Y158</f>
        <v>4.7985755743651746</v>
      </c>
      <c r="AB160" s="44"/>
      <c r="AC160" s="45">
        <v>542</v>
      </c>
      <c r="AD160" s="45">
        <v>1691</v>
      </c>
      <c r="AE160" s="45">
        <v>1367</v>
      </c>
      <c r="AF160" s="45">
        <v>0</v>
      </c>
      <c r="AG160" s="55">
        <f t="shared" si="649"/>
        <v>3600</v>
      </c>
      <c r="AH160" s="45">
        <v>-1.4E-2</v>
      </c>
      <c r="AI160" s="45">
        <v>0.25</v>
      </c>
      <c r="AJ160" s="45">
        <v>37.246000000000002</v>
      </c>
      <c r="AK160" s="45">
        <v>0</v>
      </c>
      <c r="AL160" s="55">
        <f>SUM(AH160:AK160)</f>
        <v>37.481999999999999</v>
      </c>
      <c r="AM160" s="45">
        <v>66</v>
      </c>
      <c r="AN160" s="45">
        <v>48</v>
      </c>
      <c r="AO160" s="45">
        <v>118.816</v>
      </c>
      <c r="AP160" s="45">
        <v>0</v>
      </c>
      <c r="AQ160" s="55">
        <f>SUM(AM160:AP160)</f>
        <v>232.816</v>
      </c>
      <c r="AR160" s="55">
        <f>(AG160)+(AL160*6)+AQ160*6</f>
        <v>5221.7879999999996</v>
      </c>
      <c r="AS160" s="55">
        <f>AG160/6+AL160+AQ160</f>
        <v>870.298</v>
      </c>
      <c r="AT160" s="46">
        <f>3934-1</f>
        <v>3933</v>
      </c>
      <c r="AU160" s="46">
        <v>1455</v>
      </c>
      <c r="AV160" s="46">
        <f>232-3</f>
        <v>229</v>
      </c>
      <c r="AW160" s="46">
        <v>1600</v>
      </c>
      <c r="AX160" s="50">
        <f>SUM(AT160:AW160)</f>
        <v>7217</v>
      </c>
      <c r="AY160" s="52">
        <f>SUM(AX157:AX160)</f>
        <v>13058.027</v>
      </c>
      <c r="AZ160" s="52">
        <f>SUM(AS157:AS160)</f>
        <v>1528.0753333333332</v>
      </c>
      <c r="BA160" s="52">
        <f>SUM(AR157:AR160)</f>
        <v>9168.4519999999993</v>
      </c>
      <c r="BB160" s="50">
        <f t="shared" si="650"/>
        <v>8.5454078834682239</v>
      </c>
      <c r="BC160" s="50">
        <f t="shared" si="651"/>
        <v>1.4242346472447041</v>
      </c>
      <c r="BD160" s="44" t="s">
        <v>92</v>
      </c>
      <c r="BE160" s="47">
        <f>0.91*O160</f>
        <v>698.85816</v>
      </c>
      <c r="BF160" s="48">
        <v>0</v>
      </c>
      <c r="BG160" s="48">
        <f>0.24*O160</f>
        <v>184.31423999999998</v>
      </c>
      <c r="BH160" s="47">
        <f t="shared" si="652"/>
        <v>184.31423999999998</v>
      </c>
      <c r="BI160" s="48">
        <v>28</v>
      </c>
      <c r="BJ160" s="48">
        <v>0</v>
      </c>
      <c r="BK160" s="47">
        <f t="shared" si="653"/>
        <v>19.786666666666665</v>
      </c>
      <c r="BL160" s="48">
        <v>0</v>
      </c>
      <c r="BM160" s="48">
        <f>0.11*O160</f>
        <v>84.477360000000004</v>
      </c>
      <c r="BN160" s="47">
        <f t="shared" si="654"/>
        <v>84.477360000000004</v>
      </c>
      <c r="BO160" s="48">
        <v>101</v>
      </c>
      <c r="BP160" s="48">
        <v>0</v>
      </c>
      <c r="BQ160" s="47">
        <f t="shared" si="655"/>
        <v>71.373333333333335</v>
      </c>
      <c r="BR160" s="48">
        <v>2862</v>
      </c>
      <c r="BS160" s="48">
        <v>4050</v>
      </c>
      <c r="BT160" s="202">
        <f t="shared" si="656"/>
        <v>0.70666666666666667</v>
      </c>
      <c r="BU160" s="49">
        <f t="shared" si="657"/>
        <v>1058.8097600000001</v>
      </c>
      <c r="BV160" s="50">
        <f t="shared" si="658"/>
        <v>8.2722097565548935</v>
      </c>
      <c r="BW160" s="50">
        <f t="shared" si="659"/>
        <v>1.3787016260924823</v>
      </c>
      <c r="BX160" s="44"/>
      <c r="BY160" s="91">
        <f t="shared" si="660"/>
        <v>8275.8097600000001</v>
      </c>
      <c r="BZ160" s="56">
        <f t="shared" si="661"/>
        <v>827.58097600000008</v>
      </c>
      <c r="CA160" s="141">
        <f t="shared" si="662"/>
        <v>0.1146710511292781</v>
      </c>
      <c r="CB160" s="56">
        <f t="shared" si="663"/>
        <v>6.4656784274508583</v>
      </c>
      <c r="CC160" s="56">
        <f t="shared" si="664"/>
        <v>1.0776130712418097</v>
      </c>
      <c r="CD160" s="56">
        <f t="shared" ref="CD160:CE162" si="679">+$AX160/G160</f>
        <v>56.384574517953688</v>
      </c>
      <c r="CE160" s="56">
        <f t="shared" si="679"/>
        <v>9.397429086325614</v>
      </c>
      <c r="CF160" s="56">
        <f t="shared" si="666"/>
        <v>16.817617640023116</v>
      </c>
      <c r="CG160" s="56">
        <f t="shared" si="667"/>
        <v>23.283296067473973</v>
      </c>
      <c r="CH160" s="56">
        <f t="shared" si="668"/>
        <v>73.20219215797681</v>
      </c>
      <c r="CI160" s="56">
        <f t="shared" si="669"/>
        <v>2.8029362733371865</v>
      </c>
      <c r="CJ160" s="56">
        <f t="shared" si="670"/>
        <v>3.8805493445789963</v>
      </c>
      <c r="CK160" s="56">
        <f t="shared" si="671"/>
        <v>12.200365359662801</v>
      </c>
      <c r="CL160" s="51">
        <v>4</v>
      </c>
      <c r="CM160" s="56">
        <f t="shared" si="672"/>
        <v>1.6817617640023115</v>
      </c>
      <c r="CN160" s="56">
        <f t="shared" si="673"/>
        <v>215.25877874523985</v>
      </c>
      <c r="CO160" s="173">
        <f t="shared" si="674"/>
        <v>2.9826628619265601E-2</v>
      </c>
      <c r="CP160" s="174"/>
      <c r="CQ160" s="328">
        <v>4646</v>
      </c>
      <c r="CR160" s="82"/>
      <c r="CS160" s="270">
        <f>+CT160*CU160</f>
        <v>761.74200000000008</v>
      </c>
      <c r="CT160" s="269">
        <v>181.8</v>
      </c>
      <c r="CU160" s="133">
        <v>4.1900000000000004</v>
      </c>
      <c r="CV160" s="269">
        <v>717</v>
      </c>
      <c r="CW160" s="269">
        <f>+CV160/CX160</f>
        <v>190.18567639257293</v>
      </c>
      <c r="CX160" s="133">
        <v>3.77</v>
      </c>
      <c r="CY160" s="269">
        <f>+CZ160*DA160</f>
        <v>672.28000000000009</v>
      </c>
      <c r="CZ160" s="269">
        <v>196</v>
      </c>
      <c r="DA160" s="133">
        <v>3.43</v>
      </c>
      <c r="DB160" s="269">
        <f t="shared" si="675"/>
        <v>698.49799999999971</v>
      </c>
      <c r="DC160" s="269">
        <f t="shared" si="675"/>
        <v>198.01432360742712</v>
      </c>
      <c r="DD160" s="133">
        <f>+DB160/DC160</f>
        <v>3.5275124913933271</v>
      </c>
      <c r="DE160" s="274">
        <f>+DF160*DG160</f>
        <v>2849.52</v>
      </c>
      <c r="DF160" s="274">
        <v>766</v>
      </c>
      <c r="DG160" s="273">
        <v>3.72</v>
      </c>
      <c r="DH160" s="272">
        <f>+DI160*DJ160</f>
        <v>1.6068800000000001</v>
      </c>
      <c r="DI160" s="272">
        <v>1.6E-2</v>
      </c>
      <c r="DJ160" s="296">
        <v>100.43</v>
      </c>
      <c r="DK160" s="272">
        <f>+DL160*DM160</f>
        <v>4.8536899999999994</v>
      </c>
      <c r="DL160" s="272">
        <v>4.7E-2</v>
      </c>
      <c r="DM160" s="296">
        <v>103.27</v>
      </c>
      <c r="DN160" s="272">
        <f>+DO160*DP160</f>
        <v>4.9832099999999997</v>
      </c>
      <c r="DO160" s="272">
        <v>5.0999999999999997E-2</v>
      </c>
      <c r="DP160" s="296">
        <v>97.71</v>
      </c>
      <c r="DQ160" s="272">
        <f t="shared" si="676"/>
        <v>7.3350699999999982</v>
      </c>
      <c r="DR160" s="272">
        <f t="shared" si="676"/>
        <v>0.12100000000000001</v>
      </c>
      <c r="DS160" s="296">
        <f>+DQ160/DR160</f>
        <v>60.620413223140474</v>
      </c>
      <c r="DT160" s="277">
        <f>+DU160*DV160</f>
        <v>18.778849999999998</v>
      </c>
      <c r="DU160" s="277">
        <v>0.23499999999999999</v>
      </c>
      <c r="DV160" s="297">
        <v>79.91</v>
      </c>
      <c r="DW160" s="99">
        <f>+DX160*DY160</f>
        <v>0.45143999999999995</v>
      </c>
      <c r="DX160" s="99">
        <v>8.9999999999999993E-3</v>
      </c>
      <c r="DY160" s="298">
        <v>50.16</v>
      </c>
      <c r="DZ160" s="99">
        <f>+EA160*EB160</f>
        <v>0.26446000000000003</v>
      </c>
      <c r="EA160" s="99">
        <v>7.0000000000000001E-3</v>
      </c>
      <c r="EB160" s="298">
        <v>37.78</v>
      </c>
      <c r="EC160" s="99">
        <f>+ED160*EE160</f>
        <v>0.39127000000000001</v>
      </c>
      <c r="ED160" s="99">
        <v>1.0999999999999999E-2</v>
      </c>
      <c r="EE160" s="298">
        <v>35.57</v>
      </c>
      <c r="EF160" s="99">
        <f t="shared" si="677"/>
        <v>2.5241500000000001</v>
      </c>
      <c r="EG160" s="99">
        <f t="shared" si="677"/>
        <v>0.20399999999999999</v>
      </c>
      <c r="EH160" s="298">
        <f>+EF160/EG160</f>
        <v>12.373284313725492</v>
      </c>
      <c r="EI160" s="282">
        <f>+EJ160*EK160</f>
        <v>3.6313200000000001</v>
      </c>
      <c r="EJ160" s="282">
        <v>0.23100000000000001</v>
      </c>
      <c r="EK160" s="299">
        <v>15.72</v>
      </c>
      <c r="EL160" s="344">
        <v>93.17</v>
      </c>
      <c r="EM160" s="344">
        <v>4.37</v>
      </c>
      <c r="EN160" s="344">
        <v>9.56</v>
      </c>
      <c r="EO160" s="74">
        <v>5.21</v>
      </c>
      <c r="EP160" s="74">
        <v>4.6100000000000003</v>
      </c>
      <c r="EQ160" s="74">
        <v>3.96</v>
      </c>
      <c r="ER160" s="74">
        <v>3.8</v>
      </c>
      <c r="ES160" s="74">
        <v>11.19</v>
      </c>
      <c r="ET160" s="74">
        <v>10.15</v>
      </c>
      <c r="EU160" s="74">
        <v>9.83</v>
      </c>
      <c r="EV160" s="74">
        <v>7.41</v>
      </c>
      <c r="EW160" s="74">
        <v>98.68</v>
      </c>
      <c r="EX160" s="74">
        <v>103.35</v>
      </c>
      <c r="EY160" s="74">
        <v>97.87</v>
      </c>
      <c r="EZ160" s="74">
        <v>73.209999999999994</v>
      </c>
    </row>
    <row r="161" spans="1:156" ht="27.75" customHeight="1" x14ac:dyDescent="0.3">
      <c r="A161" s="43" t="s">
        <v>66</v>
      </c>
      <c r="B161" s="43" t="s">
        <v>67</v>
      </c>
      <c r="C161" s="53">
        <v>2015</v>
      </c>
      <c r="D161" s="52">
        <v>899</v>
      </c>
      <c r="E161" s="52">
        <v>2.2650000000000001</v>
      </c>
      <c r="F161" s="52">
        <v>10.702</v>
      </c>
      <c r="G161" s="52">
        <f>D161/6+E161+F161</f>
        <v>162.80033333333333</v>
      </c>
      <c r="H161" s="52">
        <f>D161+E161*6+F161*6</f>
        <v>976.80200000000002</v>
      </c>
      <c r="I161" s="52">
        <v>0</v>
      </c>
      <c r="J161" s="52">
        <v>0</v>
      </c>
      <c r="K161" s="52">
        <v>0</v>
      </c>
      <c r="L161" s="52">
        <f>I161/6+J161+K161</f>
        <v>0</v>
      </c>
      <c r="M161" s="52">
        <f>I161+J161*6+K161*6</f>
        <v>0</v>
      </c>
      <c r="N161" s="52">
        <f t="shared" si="678"/>
        <v>162.80033333333333</v>
      </c>
      <c r="O161" s="52">
        <f t="shared" si="678"/>
        <v>976.80200000000002</v>
      </c>
      <c r="P161" s="54">
        <f>+H161/O161</f>
        <v>1</v>
      </c>
      <c r="Q161" s="54">
        <f>D161/H161</f>
        <v>0.92035028593307544</v>
      </c>
      <c r="R161" s="54">
        <f>E161/G161</f>
        <v>1.3912747926396548E-2</v>
      </c>
      <c r="S161" s="54">
        <f>F161/G161</f>
        <v>6.5736966140527972E-2</v>
      </c>
      <c r="T161" s="208">
        <v>0</v>
      </c>
      <c r="U161" s="208">
        <v>0</v>
      </c>
      <c r="V161" s="208">
        <v>443</v>
      </c>
      <c r="W161" s="52">
        <f>+T161*6+U161*6+V161</f>
        <v>443</v>
      </c>
      <c r="X161" s="52">
        <f>W161-W160</f>
        <v>-4352.4219999999996</v>
      </c>
      <c r="Y161" s="52">
        <f>+T161+U161+V161/6</f>
        <v>73.833333333333329</v>
      </c>
      <c r="Z161" s="52">
        <f>Y161-Y160</f>
        <v>-725.4036666666666</v>
      </c>
      <c r="AA161" s="205">
        <f>+Z161/Y160</f>
        <v>-0.90762022612399906</v>
      </c>
      <c r="AB161" s="44"/>
      <c r="AC161" s="45">
        <v>-3458</v>
      </c>
      <c r="AD161" s="45">
        <v>546</v>
      </c>
      <c r="AE161" s="45">
        <v>97</v>
      </c>
      <c r="AF161" s="45">
        <v>0</v>
      </c>
      <c r="AG161" s="55">
        <f t="shared" si="649"/>
        <v>-2815</v>
      </c>
      <c r="AH161" s="45">
        <v>-28.393999999999998</v>
      </c>
      <c r="AI161" s="45">
        <v>1.367</v>
      </c>
      <c r="AJ161" s="45">
        <v>0.52500000000000002</v>
      </c>
      <c r="AK161" s="45">
        <v>0</v>
      </c>
      <c r="AL161" s="55">
        <f>SUM(AH161:AK161)</f>
        <v>-26.501999999999999</v>
      </c>
      <c r="AM161" s="45">
        <v>-75.664000000000001</v>
      </c>
      <c r="AN161" s="45">
        <v>6.274</v>
      </c>
      <c r="AO161" s="45">
        <v>2.34</v>
      </c>
      <c r="AP161" s="45">
        <v>0</v>
      </c>
      <c r="AQ161" s="55">
        <f>SUM(AM161:AP161)</f>
        <v>-67.05</v>
      </c>
      <c r="AR161" s="55">
        <f>(AG161)+(AL161*6)+AQ161*6</f>
        <v>-3376.3119999999999</v>
      </c>
      <c r="AS161" s="55">
        <f>AG161/6+AL161+AQ161</f>
        <v>-562.71866666666665</v>
      </c>
      <c r="AT161" s="46">
        <v>692</v>
      </c>
      <c r="AU161" s="46">
        <v>81</v>
      </c>
      <c r="AV161" s="46">
        <v>560</v>
      </c>
      <c r="AW161" s="46">
        <v>1417</v>
      </c>
      <c r="AX161" s="50">
        <f>SUM(AT161:AW161)</f>
        <v>2750</v>
      </c>
      <c r="AY161" s="52">
        <f>SUM(AX158:AX161)</f>
        <v>13866.521000000001</v>
      </c>
      <c r="AZ161" s="52">
        <f>SUM(AS158:AS161)</f>
        <v>715.27166666666653</v>
      </c>
      <c r="BA161" s="52">
        <f>SUM(AR158:AR161)</f>
        <v>4291.6299999999992</v>
      </c>
      <c r="BB161" s="50">
        <f t="shared" si="650"/>
        <v>19.386369747625032</v>
      </c>
      <c r="BC161" s="50">
        <f t="shared" si="651"/>
        <v>3.2310616246041723</v>
      </c>
      <c r="BD161" s="44"/>
      <c r="BE161" s="47">
        <f>0.92*O161</f>
        <v>898.65784000000008</v>
      </c>
      <c r="BF161" s="48">
        <v>0</v>
      </c>
      <c r="BG161" s="48">
        <f>0.21*O161</f>
        <v>205.12842000000001</v>
      </c>
      <c r="BH161" s="47">
        <f t="shared" si="652"/>
        <v>205.12842000000001</v>
      </c>
      <c r="BI161" s="48">
        <v>-6</v>
      </c>
      <c r="BJ161" s="48">
        <v>0</v>
      </c>
      <c r="BK161" s="47">
        <f t="shared" si="653"/>
        <v>-3.9987146529562985</v>
      </c>
      <c r="BL161" s="48">
        <v>0</v>
      </c>
      <c r="BM161" s="48">
        <f>0.1*O161</f>
        <v>97.680200000000013</v>
      </c>
      <c r="BN161" s="47">
        <f t="shared" si="654"/>
        <v>97.680200000000013</v>
      </c>
      <c r="BO161" s="48">
        <v>200</v>
      </c>
      <c r="BP161" s="48">
        <v>0</v>
      </c>
      <c r="BQ161" s="47">
        <f t="shared" si="655"/>
        <v>133.29048843187661</v>
      </c>
      <c r="BR161" s="48">
        <v>2074</v>
      </c>
      <c r="BS161" s="48">
        <v>3112</v>
      </c>
      <c r="BT161" s="202">
        <f t="shared" si="656"/>
        <v>0.66645244215938304</v>
      </c>
      <c r="BU161" s="49">
        <f t="shared" si="657"/>
        <v>1330.7582337789204</v>
      </c>
      <c r="BV161" s="50">
        <f t="shared" si="658"/>
        <v>8.1741738885398707</v>
      </c>
      <c r="BW161" s="50">
        <f t="shared" si="659"/>
        <v>1.362362314756645</v>
      </c>
      <c r="BX161" s="44"/>
      <c r="BY161" s="91">
        <f t="shared" si="660"/>
        <v>4080.7582337789204</v>
      </c>
      <c r="BZ161" s="56">
        <f t="shared" si="661"/>
        <v>408.07582337789205</v>
      </c>
      <c r="CA161" s="141">
        <f t="shared" si="662"/>
        <v>0.14839120850105164</v>
      </c>
      <c r="CB161" s="56">
        <f t="shared" si="663"/>
        <v>2.5066031194319343</v>
      </c>
      <c r="CC161" s="56">
        <f t="shared" si="664"/>
        <v>0.41776718657198902</v>
      </c>
      <c r="CD161" s="56">
        <f t="shared" si="679"/>
        <v>16.891857305779475</v>
      </c>
      <c r="CE161" s="56">
        <f t="shared" si="679"/>
        <v>2.8153095509632453</v>
      </c>
      <c r="CF161" s="56">
        <f t="shared" si="666"/>
        <v>27.560543636164901</v>
      </c>
      <c r="CG161" s="56">
        <f t="shared" si="667"/>
        <v>30.067146755596834</v>
      </c>
      <c r="CH161" s="56">
        <f t="shared" si="668"/>
        <v>44.452400941944376</v>
      </c>
      <c r="CI161" s="56">
        <f t="shared" si="669"/>
        <v>4.5934239393608172</v>
      </c>
      <c r="CJ161" s="56">
        <f t="shared" si="670"/>
        <v>5.0111911259328066</v>
      </c>
      <c r="CK161" s="56">
        <f t="shared" si="671"/>
        <v>7.408733490324062</v>
      </c>
      <c r="CL161" s="51">
        <v>4</v>
      </c>
      <c r="CM161" s="56">
        <f t="shared" si="672"/>
        <v>2.75605436361649</v>
      </c>
      <c r="CN161" s="56">
        <f t="shared" si="673"/>
        <v>448.68656908155242</v>
      </c>
      <c r="CO161" s="173">
        <f t="shared" si="674"/>
        <v>0.16315875239329178</v>
      </c>
      <c r="CP161" s="174"/>
      <c r="CQ161" s="328">
        <v>3727</v>
      </c>
      <c r="CR161" s="82"/>
      <c r="CS161" s="270">
        <f>+CT161*CU161</f>
        <v>654.81000000000006</v>
      </c>
      <c r="CT161" s="269">
        <v>219</v>
      </c>
      <c r="CU161" s="133">
        <v>2.99</v>
      </c>
      <c r="CV161" s="269">
        <v>717</v>
      </c>
      <c r="CW161" s="269">
        <v>226</v>
      </c>
      <c r="CX161" s="133">
        <v>1.76</v>
      </c>
      <c r="CY161" s="269">
        <f>+CZ161*DA161</f>
        <v>403.56</v>
      </c>
      <c r="CZ161" s="269">
        <v>228</v>
      </c>
      <c r="DA161" s="133">
        <v>1.77</v>
      </c>
      <c r="DB161" s="269">
        <f t="shared" si="675"/>
        <v>355.26000000000016</v>
      </c>
      <c r="DC161" s="269">
        <f t="shared" si="675"/>
        <v>226</v>
      </c>
      <c r="DD161" s="133">
        <f>+DB161/DC161</f>
        <v>1.571946902654868</v>
      </c>
      <c r="DE161" s="274">
        <f>+DF161*DG161</f>
        <v>2130.63</v>
      </c>
      <c r="DF161" s="274">
        <v>899</v>
      </c>
      <c r="DG161" s="273">
        <v>2.37</v>
      </c>
      <c r="DH161" s="272">
        <f>+DI161*DJ161</f>
        <v>16.840499999999999</v>
      </c>
      <c r="DI161" s="272">
        <v>0.54500000000000004</v>
      </c>
      <c r="DJ161" s="296">
        <v>30.9</v>
      </c>
      <c r="DK161" s="272">
        <f>+DL161*DM161</f>
        <v>24.078320000000001</v>
      </c>
      <c r="DL161" s="272">
        <v>0.58899999999999997</v>
      </c>
      <c r="DM161" s="296">
        <v>40.880000000000003</v>
      </c>
      <c r="DN161" s="272">
        <f>+DO161*DP161</f>
        <v>18.827000000000002</v>
      </c>
      <c r="DO161" s="272">
        <v>0.56200000000000006</v>
      </c>
      <c r="DP161" s="296">
        <v>33.5</v>
      </c>
      <c r="DQ161" s="272">
        <f t="shared" si="676"/>
        <v>15.565429999999999</v>
      </c>
      <c r="DR161" s="272">
        <f t="shared" si="676"/>
        <v>0.56900000000000006</v>
      </c>
      <c r="DS161" s="296">
        <f>+DQ161/DR161</f>
        <v>27.355764499121261</v>
      </c>
      <c r="DT161" s="277">
        <f>+DU161*DV161</f>
        <v>75.311250000000001</v>
      </c>
      <c r="DU161" s="277">
        <v>2.2650000000000001</v>
      </c>
      <c r="DV161" s="297">
        <v>33.25</v>
      </c>
      <c r="DW161" s="99">
        <f>+DX161*DY161</f>
        <v>18.278099999999998</v>
      </c>
      <c r="DX161" s="99">
        <v>1.766</v>
      </c>
      <c r="DY161" s="298">
        <v>10.35</v>
      </c>
      <c r="DZ161" s="99">
        <f>+EA161*EB161</f>
        <v>14.851979999999998</v>
      </c>
      <c r="EA161" s="99">
        <v>2.5739999999999998</v>
      </c>
      <c r="EB161" s="298">
        <v>5.77</v>
      </c>
      <c r="EC161" s="99">
        <f>+ED161*EE161</f>
        <v>14.320479999999998</v>
      </c>
      <c r="ED161" s="99">
        <v>3.0339999999999998</v>
      </c>
      <c r="EE161" s="298">
        <v>4.72</v>
      </c>
      <c r="EF161" s="99">
        <f t="shared" si="677"/>
        <v>25.32304000000001</v>
      </c>
      <c r="EG161" s="99">
        <f t="shared" si="677"/>
        <v>3.3280000000000003</v>
      </c>
      <c r="EH161" s="298">
        <f>+EF161/EG161</f>
        <v>7.6090865384615407</v>
      </c>
      <c r="EI161" s="300">
        <f>+EJ161*EK161</f>
        <v>72.773600000000002</v>
      </c>
      <c r="EJ161" s="300">
        <v>10.702</v>
      </c>
      <c r="EK161" s="301">
        <v>6.8</v>
      </c>
      <c r="EL161" s="344">
        <v>48.66</v>
      </c>
      <c r="EM161" s="344">
        <v>2.62</v>
      </c>
      <c r="EN161" s="344">
        <v>4.97</v>
      </c>
      <c r="EO161" s="331">
        <v>2.9</v>
      </c>
      <c r="EP161" s="331">
        <v>2.75</v>
      </c>
      <c r="EQ161" s="331">
        <v>2.76</v>
      </c>
      <c r="ER161" s="331">
        <v>2.12</v>
      </c>
      <c r="ES161" s="331">
        <v>5.43</v>
      </c>
      <c r="ET161" s="331">
        <v>5.2</v>
      </c>
      <c r="EU161" s="331">
        <v>4.68</v>
      </c>
      <c r="EV161" s="331">
        <v>4.5999999999999996</v>
      </c>
      <c r="EW161" s="331">
        <v>48.49</v>
      </c>
      <c r="EX161" s="331">
        <v>57.85</v>
      </c>
      <c r="EY161" s="331">
        <v>46.64</v>
      </c>
      <c r="EZ161" s="331">
        <v>41.94</v>
      </c>
    </row>
    <row r="162" spans="1:156" ht="27.75" customHeight="1" x14ac:dyDescent="0.3">
      <c r="A162" s="228" t="s">
        <v>66</v>
      </c>
      <c r="B162" s="228" t="s">
        <v>67</v>
      </c>
      <c r="C162" s="229">
        <v>2016</v>
      </c>
      <c r="D162" s="216">
        <v>788</v>
      </c>
      <c r="E162" s="216">
        <v>2.1920000000000002</v>
      </c>
      <c r="F162" s="216">
        <v>12.372</v>
      </c>
      <c r="G162" s="216">
        <f>D162/6+E162+F162</f>
        <v>145.89733333333334</v>
      </c>
      <c r="H162" s="216">
        <f>D162+E162*6+F162*6</f>
        <v>875.38400000000001</v>
      </c>
      <c r="I162" s="216">
        <v>0</v>
      </c>
      <c r="J162" s="216">
        <v>0</v>
      </c>
      <c r="K162" s="216">
        <v>0</v>
      </c>
      <c r="L162" s="216">
        <f>I162/6+J162+K162</f>
        <v>0</v>
      </c>
      <c r="M162" s="216">
        <f>I162+J162*6+K162*6</f>
        <v>0</v>
      </c>
      <c r="N162" s="216">
        <f t="shared" si="678"/>
        <v>145.89733333333334</v>
      </c>
      <c r="O162" s="216">
        <f t="shared" si="678"/>
        <v>875.38400000000001</v>
      </c>
      <c r="P162" s="302">
        <f>+H162/O162</f>
        <v>1</v>
      </c>
      <c r="Q162" s="302">
        <f>D162/H162</f>
        <v>0.90017637973734954</v>
      </c>
      <c r="R162" s="302">
        <f>E162/G162</f>
        <v>1.5024263637443682E-2</v>
      </c>
      <c r="S162" s="302">
        <f>F162/G162</f>
        <v>8.4799356625206768E-2</v>
      </c>
      <c r="T162" s="209">
        <v>0</v>
      </c>
      <c r="U162" s="209">
        <v>0</v>
      </c>
      <c r="V162" s="209">
        <v>77</v>
      </c>
      <c r="W162" s="216">
        <f>+T162*6+U162*6+V162</f>
        <v>77</v>
      </c>
      <c r="X162" s="216">
        <f>W162-W161</f>
        <v>-366</v>
      </c>
      <c r="Y162" s="216">
        <f>+T162+U162+V162/6</f>
        <v>12.833333333333334</v>
      </c>
      <c r="Z162" s="216">
        <f>Y162-Y161</f>
        <v>-60.999999999999993</v>
      </c>
      <c r="AA162" s="206">
        <f>+Z162/Y161</f>
        <v>-0.82618510158013536</v>
      </c>
      <c r="AB162" s="230"/>
      <c r="AC162" s="231">
        <v>-446</v>
      </c>
      <c r="AD162" s="231">
        <v>198</v>
      </c>
      <c r="AE162" s="231">
        <v>0</v>
      </c>
      <c r="AF162" s="231">
        <v>0</v>
      </c>
      <c r="AG162" s="303">
        <f t="shared" si="649"/>
        <v>-248</v>
      </c>
      <c r="AH162" s="231">
        <v>1.5640000000000001</v>
      </c>
      <c r="AI162" s="231">
        <v>2.4169999999999998</v>
      </c>
      <c r="AJ162" s="231">
        <v>0</v>
      </c>
      <c r="AK162" s="231">
        <v>0</v>
      </c>
      <c r="AL162" s="303">
        <f>SUM(AH162:AK162)</f>
        <v>3.9809999999999999</v>
      </c>
      <c r="AM162" s="231">
        <v>13.794</v>
      </c>
      <c r="AN162" s="231">
        <v>11.576000000000001</v>
      </c>
      <c r="AO162" s="231">
        <v>0</v>
      </c>
      <c r="AP162" s="231">
        <v>0</v>
      </c>
      <c r="AQ162" s="303">
        <f>SUM(AM162:AP162)</f>
        <v>25.37</v>
      </c>
      <c r="AR162" s="303">
        <f>(AG162)+(AL162*6)+AQ162*6</f>
        <v>-71.894000000000005</v>
      </c>
      <c r="AS162" s="303">
        <f>AG162/6+AL162+AQ162</f>
        <v>-11.982333333333333</v>
      </c>
      <c r="AT162" s="232">
        <v>171</v>
      </c>
      <c r="AU162" s="232">
        <v>0</v>
      </c>
      <c r="AV162" s="232">
        <v>17</v>
      </c>
      <c r="AW162" s="232">
        <v>433</v>
      </c>
      <c r="AX162" s="215">
        <f>SUM(AT162:AW162)</f>
        <v>621</v>
      </c>
      <c r="AY162" s="216">
        <f>SUM(AX160:AX162)</f>
        <v>10588</v>
      </c>
      <c r="AZ162" s="216">
        <f>SUM(AS160:AS162)</f>
        <v>295.59700000000004</v>
      </c>
      <c r="BA162" s="216">
        <f>SUM(AR160:AR162)</f>
        <v>1773.5819999999997</v>
      </c>
      <c r="BB162" s="215">
        <f t="shared" si="650"/>
        <v>35.819037405657021</v>
      </c>
      <c r="BC162" s="215">
        <f t="shared" si="651"/>
        <v>5.9698395676095055</v>
      </c>
      <c r="BD162" s="230"/>
      <c r="BE162" s="212">
        <f>0.87*O162</f>
        <v>761.58407999999997</v>
      </c>
      <c r="BF162" s="200">
        <v>0</v>
      </c>
      <c r="BG162" s="200">
        <f>0.22*O162</f>
        <v>192.58448000000001</v>
      </c>
      <c r="BH162" s="212">
        <f t="shared" si="652"/>
        <v>192.58448000000001</v>
      </c>
      <c r="BI162" s="200">
        <v>-15</v>
      </c>
      <c r="BJ162" s="200">
        <v>0</v>
      </c>
      <c r="BK162" s="212">
        <f t="shared" si="653"/>
        <v>-8.7763975155279503</v>
      </c>
      <c r="BL162" s="200">
        <v>0</v>
      </c>
      <c r="BM162" s="200">
        <f>0.1*O162</f>
        <v>87.53840000000001</v>
      </c>
      <c r="BN162" s="212">
        <f t="shared" si="654"/>
        <v>87.53840000000001</v>
      </c>
      <c r="BO162" s="200">
        <v>226</v>
      </c>
      <c r="BP162" s="200">
        <v>0</v>
      </c>
      <c r="BQ162" s="212">
        <f t="shared" si="655"/>
        <v>132.23105590062113</v>
      </c>
      <c r="BR162" s="200">
        <v>1413</v>
      </c>
      <c r="BS162" s="211">
        <v>2415</v>
      </c>
      <c r="BT162" s="203">
        <f t="shared" si="656"/>
        <v>0.58509316770186337</v>
      </c>
      <c r="BU162" s="220">
        <f t="shared" si="657"/>
        <v>1165.1616183850933</v>
      </c>
      <c r="BV162" s="215">
        <f t="shared" si="658"/>
        <v>7.9861748790365823</v>
      </c>
      <c r="BW162" s="215">
        <f t="shared" si="659"/>
        <v>1.331029146506097</v>
      </c>
      <c r="BX162" s="230"/>
      <c r="BY162" s="304">
        <f t="shared" si="660"/>
        <v>1786.1616183850933</v>
      </c>
      <c r="BZ162" s="305">
        <f t="shared" si="661"/>
        <v>178.61616183850936</v>
      </c>
      <c r="CA162" s="306">
        <f t="shared" si="662"/>
        <v>0.28762666962722921</v>
      </c>
      <c r="CB162" s="305">
        <f t="shared" si="663"/>
        <v>1.2242592633987555</v>
      </c>
      <c r="CC162" s="305">
        <f t="shared" si="664"/>
        <v>0.20404321056645924</v>
      </c>
      <c r="CD162" s="305">
        <f t="shared" si="679"/>
        <v>4.2564177549509701</v>
      </c>
      <c r="CE162" s="305">
        <f t="shared" si="679"/>
        <v>0.70940295915849505</v>
      </c>
      <c r="CF162" s="305">
        <f t="shared" si="666"/>
        <v>43.805212284693603</v>
      </c>
      <c r="CG162" s="305">
        <f t="shared" si="667"/>
        <v>45.02947154809236</v>
      </c>
      <c r="CH162" s="305">
        <f t="shared" si="668"/>
        <v>48.061630039644569</v>
      </c>
      <c r="CI162" s="305">
        <f t="shared" si="669"/>
        <v>7.3008687141156026</v>
      </c>
      <c r="CJ162" s="305">
        <f t="shared" si="670"/>
        <v>7.5049119246820615</v>
      </c>
      <c r="CK162" s="305">
        <f t="shared" si="671"/>
        <v>8.0102716732740973</v>
      </c>
      <c r="CL162" s="307">
        <v>4</v>
      </c>
      <c r="CM162" s="305">
        <f t="shared" si="672"/>
        <v>4.3805212284693607</v>
      </c>
      <c r="CN162" s="305">
        <f t="shared" si="673"/>
        <v>639.10636584373719</v>
      </c>
      <c r="CO162" s="308">
        <f t="shared" si="674"/>
        <v>1.0291567887982886</v>
      </c>
      <c r="CP162" s="309"/>
      <c r="CQ162" s="329">
        <v>2105</v>
      </c>
      <c r="CR162" s="266"/>
      <c r="CS162" s="313">
        <f>+CT162*CU162</f>
        <v>315.24</v>
      </c>
      <c r="CT162" s="313">
        <v>213</v>
      </c>
      <c r="CU162" s="314">
        <v>1.48</v>
      </c>
      <c r="CV162" s="313">
        <f>+CW162*CX162</f>
        <v>245.63</v>
      </c>
      <c r="CW162" s="313">
        <v>203</v>
      </c>
      <c r="CX162" s="314">
        <v>1.21</v>
      </c>
      <c r="CY162" s="313">
        <f>+CZ162*DA162</f>
        <v>336.42</v>
      </c>
      <c r="CZ162" s="313">
        <v>189</v>
      </c>
      <c r="DA162" s="314">
        <v>1.78</v>
      </c>
      <c r="DB162" s="313">
        <f t="shared" si="675"/>
        <v>395.02999999999992</v>
      </c>
      <c r="DC162" s="313">
        <f t="shared" si="675"/>
        <v>183</v>
      </c>
      <c r="DD162" s="314">
        <f>+DB162/DC162</f>
        <v>2.1586338797814202</v>
      </c>
      <c r="DE162" s="315">
        <f>+DF162*DG162</f>
        <v>1292.32</v>
      </c>
      <c r="DF162" s="315">
        <v>788</v>
      </c>
      <c r="DG162" s="316">
        <v>1.64</v>
      </c>
      <c r="DH162" s="317">
        <f>+DI162*DJ162</f>
        <v>11.320549999999999</v>
      </c>
      <c r="DI162" s="317">
        <v>0.60699999999999998</v>
      </c>
      <c r="DJ162" s="318">
        <v>18.649999999999999</v>
      </c>
      <c r="DK162" s="317">
        <f>+DL162*DM162</f>
        <v>19.021560000000001</v>
      </c>
      <c r="DL162" s="317">
        <v>0.58599999999999997</v>
      </c>
      <c r="DM162" s="318">
        <v>32.46</v>
      </c>
      <c r="DN162" s="317">
        <f>+DO162*DP162</f>
        <v>18.979759999999999</v>
      </c>
      <c r="DO162" s="317">
        <v>0.53600000000000003</v>
      </c>
      <c r="DP162" s="318">
        <v>35.409999999999997</v>
      </c>
      <c r="DQ162" s="317">
        <f t="shared" si="676"/>
        <v>19.068530000000003</v>
      </c>
      <c r="DR162" s="317">
        <f t="shared" si="676"/>
        <v>0.4630000000000003</v>
      </c>
      <c r="DS162" s="318">
        <f>+DQ162/DR162</f>
        <v>41.184730021598249</v>
      </c>
      <c r="DT162" s="319">
        <f>+DU162*DV162</f>
        <v>68.3904</v>
      </c>
      <c r="DU162" s="319">
        <v>2.1920000000000002</v>
      </c>
      <c r="DV162" s="320">
        <v>31.2</v>
      </c>
      <c r="DW162" s="187">
        <f>+DX162*DY162</f>
        <v>16.812480000000001</v>
      </c>
      <c r="DX162" s="187">
        <v>3.3759999999999999</v>
      </c>
      <c r="DY162" s="321">
        <v>4.9800000000000004</v>
      </c>
      <c r="DZ162" s="187">
        <f>+EA162*EB162</f>
        <v>20.101760000000002</v>
      </c>
      <c r="EA162" s="187">
        <v>3.1360000000000001</v>
      </c>
      <c r="EB162" s="321">
        <v>6.41</v>
      </c>
      <c r="EC162" s="187">
        <f>+ED162*EE162</f>
        <v>21.59872</v>
      </c>
      <c r="ED162" s="187">
        <v>3.0680000000000001</v>
      </c>
      <c r="EE162" s="321">
        <v>7.04</v>
      </c>
      <c r="EF162" s="187">
        <f t="shared" si="677"/>
        <v>33.782159999999998</v>
      </c>
      <c r="EG162" s="187">
        <f t="shared" si="677"/>
        <v>2.7920000000000003</v>
      </c>
      <c r="EH162" s="321">
        <f>+EF162/EG162</f>
        <v>12.099627507163321</v>
      </c>
      <c r="EI162" s="310">
        <f>+EJ162*EK162</f>
        <v>92.295119999999997</v>
      </c>
      <c r="EJ162" s="310">
        <v>12.372</v>
      </c>
      <c r="EK162" s="311">
        <v>7.46</v>
      </c>
      <c r="EL162" s="345">
        <v>43.2</v>
      </c>
      <c r="EM162" s="345">
        <v>2.52</v>
      </c>
      <c r="EN162" s="345">
        <v>5.04</v>
      </c>
      <c r="EO162" s="332">
        <v>1.99</v>
      </c>
      <c r="EP162" s="332">
        <v>2.15</v>
      </c>
      <c r="EQ162" s="332">
        <v>2.88</v>
      </c>
      <c r="ER162" s="332">
        <v>3.04</v>
      </c>
      <c r="ES162" s="332">
        <v>4.0199999999999996</v>
      </c>
      <c r="ET162" s="332">
        <v>5</v>
      </c>
      <c r="EU162" s="332">
        <v>5.04</v>
      </c>
      <c r="EV162" s="332">
        <v>6.05</v>
      </c>
      <c r="EW162" s="332">
        <v>33.35</v>
      </c>
      <c r="EX162" s="332">
        <v>45.46</v>
      </c>
      <c r="EY162" s="332">
        <v>44.85</v>
      </c>
      <c r="EZ162" s="332">
        <v>49.14</v>
      </c>
    </row>
    <row r="163" spans="1:156" ht="27.75" customHeight="1" x14ac:dyDescent="0.3">
      <c r="AX163" s="58"/>
      <c r="BW163" s="25"/>
      <c r="BX163" s="31"/>
      <c r="CF163" s="139"/>
      <c r="CG163" s="142"/>
      <c r="CI163" s="143"/>
      <c r="CJ163" s="143"/>
    </row>
    <row r="164" spans="1:156" ht="27.75" customHeight="1" x14ac:dyDescent="0.3">
      <c r="D164" s="52"/>
      <c r="E164" s="85"/>
      <c r="AX164" s="58"/>
      <c r="BW164" s="25"/>
      <c r="BX164" s="31"/>
      <c r="CF164" s="139"/>
      <c r="CG164" s="142"/>
      <c r="CI164" s="143"/>
      <c r="CJ164" s="143"/>
    </row>
    <row r="165" spans="1:156" ht="27.75" customHeight="1" x14ac:dyDescent="0.3">
      <c r="AX165" s="58"/>
      <c r="BW165" s="25"/>
      <c r="BX165" s="31"/>
      <c r="CF165" s="139"/>
      <c r="CG165" s="142"/>
      <c r="CI165" s="143"/>
      <c r="CJ165" s="143"/>
    </row>
    <row r="166" spans="1:156" ht="27.75" customHeight="1" x14ac:dyDescent="0.3">
      <c r="E166" s="85"/>
      <c r="AX166" s="58"/>
      <c r="BW166" s="25"/>
      <c r="BX166" s="31"/>
      <c r="CF166" s="139"/>
      <c r="CG166" s="142"/>
      <c r="CI166" s="143"/>
      <c r="CJ166" s="143"/>
    </row>
    <row r="167" spans="1:156" ht="27.75" customHeight="1" x14ac:dyDescent="0.3">
      <c r="BW167" s="25"/>
      <c r="BX167" s="31"/>
      <c r="CF167" s="139"/>
      <c r="CG167" s="142"/>
      <c r="CI167" s="143"/>
      <c r="CJ167" s="143"/>
    </row>
    <row r="168" spans="1:156" ht="27.75" customHeight="1" x14ac:dyDescent="0.3">
      <c r="BW168" s="25"/>
      <c r="BX168" s="31"/>
      <c r="CF168" s="139"/>
      <c r="CG168" s="142"/>
      <c r="CI168" s="143"/>
      <c r="CJ168" s="143"/>
    </row>
    <row r="169" spans="1:156" ht="27.75" customHeight="1" x14ac:dyDescent="0.3">
      <c r="BW169" s="25"/>
      <c r="BX169" s="31"/>
      <c r="CF169" s="139"/>
      <c r="CG169" s="142"/>
      <c r="CI169" s="143"/>
    </row>
    <row r="170" spans="1:156" ht="27.75" customHeight="1" x14ac:dyDescent="0.3">
      <c r="BW170" s="58"/>
      <c r="BX170" s="60"/>
      <c r="CF170" s="139"/>
      <c r="CG170" s="142"/>
      <c r="CI170" s="143"/>
    </row>
    <row r="171" spans="1:156" ht="27.75" customHeight="1" x14ac:dyDescent="0.3">
      <c r="CF171" s="139"/>
      <c r="CG171" s="142"/>
      <c r="CI171" s="143"/>
    </row>
    <row r="172" spans="1:156" ht="27.75" customHeight="1" x14ac:dyDescent="0.3">
      <c r="CF172" s="139"/>
      <c r="CG172" s="142"/>
      <c r="CI172" s="143"/>
    </row>
  </sheetData>
  <autoFilter ref="A2:CQ162"/>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C26" sqref="C26"/>
    </sheetView>
  </sheetViews>
  <sheetFormatPr defaultColWidth="9.109375" defaultRowHeight="14.4" x14ac:dyDescent="0.3"/>
  <cols>
    <col min="1" max="1" width="12.44140625" style="351" customWidth="1"/>
    <col min="2" max="6" width="51" style="351" customWidth="1"/>
    <col min="7" max="16384" width="9.109375" style="351"/>
  </cols>
  <sheetData>
    <row r="1" spans="1:6" x14ac:dyDescent="0.3">
      <c r="B1" s="352" t="s">
        <v>316</v>
      </c>
      <c r="C1" s="352" t="s">
        <v>317</v>
      </c>
      <c r="D1" s="352" t="s">
        <v>145</v>
      </c>
      <c r="E1" s="352" t="s">
        <v>318</v>
      </c>
      <c r="F1" s="352" t="s">
        <v>319</v>
      </c>
    </row>
    <row r="2" spans="1:6" ht="43.2" x14ac:dyDescent="0.3">
      <c r="A2" s="351" t="s">
        <v>320</v>
      </c>
      <c r="B2" s="350" t="s">
        <v>476</v>
      </c>
      <c r="C2" s="350" t="s">
        <v>478</v>
      </c>
      <c r="D2" s="350" t="s">
        <v>479</v>
      </c>
      <c r="E2" s="350" t="s">
        <v>321</v>
      </c>
      <c r="F2" s="350" t="s">
        <v>322</v>
      </c>
    </row>
    <row r="3" spans="1:6" x14ac:dyDescent="0.3">
      <c r="A3" s="353"/>
      <c r="B3" s="354" t="s">
        <v>477</v>
      </c>
      <c r="C3" s="354"/>
      <c r="D3" s="354" t="s">
        <v>323</v>
      </c>
      <c r="E3" s="354" t="s">
        <v>324</v>
      </c>
      <c r="F3" s="354" t="s">
        <v>325</v>
      </c>
    </row>
    <row r="4" spans="1:6" ht="57.6" x14ac:dyDescent="0.3">
      <c r="A4" s="353"/>
      <c r="B4" s="354" t="s">
        <v>480</v>
      </c>
      <c r="C4" s="354"/>
      <c r="D4" s="354"/>
      <c r="E4" s="354"/>
      <c r="F4" s="354" t="s">
        <v>326</v>
      </c>
    </row>
    <row r="5" spans="1:6" ht="43.2" x14ac:dyDescent="0.3">
      <c r="A5" s="353" t="s">
        <v>327</v>
      </c>
      <c r="B5" s="354" t="s">
        <v>481</v>
      </c>
      <c r="C5" s="354" t="s">
        <v>328</v>
      </c>
      <c r="D5" s="354" t="s">
        <v>483</v>
      </c>
      <c r="E5" s="354" t="s">
        <v>329</v>
      </c>
      <c r="F5" s="354" t="s">
        <v>330</v>
      </c>
    </row>
    <row r="6" spans="1:6" x14ac:dyDescent="0.3">
      <c r="A6" s="353"/>
      <c r="B6" s="353"/>
      <c r="C6" s="353"/>
      <c r="D6" s="354" t="s">
        <v>331</v>
      </c>
      <c r="E6" s="354"/>
      <c r="F6" s="354"/>
    </row>
    <row r="7" spans="1:6" ht="28.8" x14ac:dyDescent="0.3">
      <c r="A7" s="353" t="s">
        <v>332</v>
      </c>
      <c r="B7" s="354" t="s">
        <v>481</v>
      </c>
      <c r="C7" s="354" t="s">
        <v>482</v>
      </c>
      <c r="D7" s="354" t="s">
        <v>333</v>
      </c>
      <c r="E7" s="354" t="s">
        <v>329</v>
      </c>
      <c r="F7" s="354"/>
    </row>
    <row r="8" spans="1:6" ht="28.8" x14ac:dyDescent="0.3">
      <c r="A8" s="353"/>
      <c r="B8" s="354"/>
      <c r="C8" s="354"/>
      <c r="D8" s="354"/>
      <c r="E8" s="354" t="s">
        <v>334</v>
      </c>
      <c r="F8" s="354"/>
    </row>
    <row r="9" spans="1:6" ht="43.2" x14ac:dyDescent="0.3">
      <c r="A9" s="353" t="s">
        <v>335</v>
      </c>
      <c r="B9" s="354" t="s">
        <v>336</v>
      </c>
      <c r="C9" s="354" t="s">
        <v>337</v>
      </c>
      <c r="D9" s="354" t="s">
        <v>333</v>
      </c>
      <c r="E9" s="354" t="s">
        <v>329</v>
      </c>
      <c r="F9" s="354"/>
    </row>
    <row r="10" spans="1:6" ht="28.8" x14ac:dyDescent="0.3">
      <c r="A10" s="353"/>
      <c r="B10" s="354"/>
      <c r="C10" s="354"/>
      <c r="D10" s="355"/>
      <c r="E10" s="354" t="s">
        <v>338</v>
      </c>
      <c r="F10" s="354"/>
    </row>
    <row r="11" spans="1:6" ht="43.2" x14ac:dyDescent="0.3">
      <c r="A11" s="353"/>
      <c r="B11" s="354"/>
      <c r="C11" s="354"/>
      <c r="D11" s="355" t="s">
        <v>339</v>
      </c>
      <c r="E11" s="354"/>
      <c r="F11" s="354"/>
    </row>
    <row r="12" spans="1:6" x14ac:dyDescent="0.3">
      <c r="A12" s="353" t="s">
        <v>308</v>
      </c>
      <c r="B12" s="354" t="s">
        <v>340</v>
      </c>
      <c r="C12" s="354"/>
      <c r="D12" s="355" t="s">
        <v>341</v>
      </c>
      <c r="E12" s="354"/>
      <c r="F12" s="354"/>
    </row>
    <row r="13" spans="1:6" x14ac:dyDescent="0.3">
      <c r="A13" s="353"/>
      <c r="B13" s="354" t="s">
        <v>342</v>
      </c>
      <c r="C13" s="354"/>
      <c r="D13" s="355"/>
      <c r="E13" s="354"/>
      <c r="F13" s="354"/>
    </row>
    <row r="14" spans="1:6" ht="72" x14ac:dyDescent="0.3">
      <c r="A14" s="351" t="s">
        <v>343</v>
      </c>
      <c r="B14" s="350" t="s">
        <v>344</v>
      </c>
      <c r="C14" s="350" t="s">
        <v>345</v>
      </c>
      <c r="D14" s="350" t="s">
        <v>346</v>
      </c>
      <c r="E14" s="350" t="s">
        <v>203</v>
      </c>
      <c r="F14" s="350"/>
    </row>
    <row r="15" spans="1:6" ht="43.2" x14ac:dyDescent="0.3">
      <c r="B15" s="350" t="s">
        <v>347</v>
      </c>
      <c r="C15" s="350"/>
      <c r="D15" s="350" t="s">
        <v>348</v>
      </c>
      <c r="E15" s="350" t="s">
        <v>283</v>
      </c>
      <c r="F15" s="350"/>
    </row>
    <row r="16" spans="1:6" ht="28.8" x14ac:dyDescent="0.3">
      <c r="B16" s="350" t="s">
        <v>349</v>
      </c>
      <c r="C16" s="350"/>
      <c r="D16" s="350" t="s">
        <v>350</v>
      </c>
      <c r="E16" s="350" t="s">
        <v>176</v>
      </c>
      <c r="F16" s="350"/>
    </row>
    <row r="17" spans="1:6" ht="28.8" x14ac:dyDescent="0.3">
      <c r="A17" s="351" t="s">
        <v>312</v>
      </c>
      <c r="B17" s="350" t="s">
        <v>351</v>
      </c>
      <c r="C17" s="350"/>
      <c r="D17" s="350"/>
      <c r="E17" s="350"/>
      <c r="F17" s="350"/>
    </row>
    <row r="18" spans="1:6" x14ac:dyDescent="0.3">
      <c r="B18" s="350" t="s">
        <v>352</v>
      </c>
      <c r="C18" s="350"/>
      <c r="D18" s="350"/>
      <c r="E18" s="350"/>
      <c r="F18" s="350"/>
    </row>
    <row r="19" spans="1:6" ht="28.8" x14ac:dyDescent="0.3">
      <c r="B19" s="350" t="s">
        <v>353</v>
      </c>
      <c r="C19" s="350"/>
      <c r="D19" s="350"/>
      <c r="E19" s="350"/>
      <c r="F19" s="350"/>
    </row>
    <row r="20" spans="1:6" ht="28.8" x14ac:dyDescent="0.3">
      <c r="A20" s="351" t="s">
        <v>354</v>
      </c>
      <c r="B20" s="350"/>
      <c r="C20" s="350" t="s">
        <v>355</v>
      </c>
      <c r="D20" s="350" t="s">
        <v>356</v>
      </c>
      <c r="E20" s="354" t="s">
        <v>275</v>
      </c>
      <c r="F20" s="350"/>
    </row>
    <row r="21" spans="1:6" ht="28.8" x14ac:dyDescent="0.3">
      <c r="B21" s="350"/>
      <c r="C21" s="350"/>
      <c r="D21" s="350"/>
      <c r="E21" s="350" t="s">
        <v>357</v>
      </c>
      <c r="F21" s="350"/>
    </row>
    <row r="22" spans="1:6" x14ac:dyDescent="0.3">
      <c r="A22" s="351" t="s">
        <v>47</v>
      </c>
      <c r="B22" s="350"/>
      <c r="C22" s="350" t="s">
        <v>358</v>
      </c>
      <c r="D22" s="350" t="s">
        <v>359</v>
      </c>
      <c r="E22" s="350" t="s">
        <v>360</v>
      </c>
      <c r="F22" s="350"/>
    </row>
    <row r="23" spans="1:6" ht="28.8" x14ac:dyDescent="0.3">
      <c r="B23" s="350"/>
      <c r="C23" s="350"/>
      <c r="D23" s="350" t="s">
        <v>361</v>
      </c>
      <c r="E23" s="350"/>
      <c r="F23" s="350"/>
    </row>
    <row r="24" spans="1:6" x14ac:dyDescent="0.3">
      <c r="A24" s="351" t="s">
        <v>51</v>
      </c>
      <c r="B24" s="350"/>
      <c r="C24" s="350" t="s">
        <v>362</v>
      </c>
      <c r="D24" s="350" t="s">
        <v>363</v>
      </c>
      <c r="E24" s="350" t="s">
        <v>364</v>
      </c>
      <c r="F24" s="350"/>
    </row>
    <row r="25" spans="1:6" ht="28.8" x14ac:dyDescent="0.3">
      <c r="B25" s="350"/>
      <c r="C25" s="350"/>
      <c r="D25" s="350"/>
      <c r="E25" s="350" t="s">
        <v>365</v>
      </c>
      <c r="F25" s="350"/>
    </row>
    <row r="26" spans="1:6" ht="187.2" x14ac:dyDescent="0.3">
      <c r="A26" s="351" t="s">
        <v>314</v>
      </c>
      <c r="B26" s="350" t="s">
        <v>366</v>
      </c>
      <c r="C26" s="350" t="s">
        <v>367</v>
      </c>
      <c r="D26" s="350" t="s">
        <v>368</v>
      </c>
      <c r="E26" s="350"/>
      <c r="F26" s="350"/>
    </row>
    <row r="27" spans="1:6" ht="43.2" x14ac:dyDescent="0.3">
      <c r="B27" s="350" t="s">
        <v>369</v>
      </c>
      <c r="C27" s="350"/>
      <c r="D27" s="350" t="s">
        <v>370</v>
      </c>
      <c r="E27" s="350"/>
      <c r="F27" s="350"/>
    </row>
    <row r="28" spans="1:6" ht="43.2" x14ac:dyDescent="0.3">
      <c r="A28" s="351" t="s">
        <v>303</v>
      </c>
      <c r="B28" s="350" t="s">
        <v>371</v>
      </c>
      <c r="C28" s="350"/>
      <c r="D28" s="350"/>
      <c r="E28" s="350"/>
      <c r="F28" s="350"/>
    </row>
    <row r="29" spans="1:6" ht="43.2" x14ac:dyDescent="0.3">
      <c r="B29" s="350" t="s">
        <v>372</v>
      </c>
      <c r="C29" s="350"/>
      <c r="D29" s="350"/>
      <c r="E29" s="350"/>
      <c r="F29" s="350"/>
    </row>
    <row r="30" spans="1:6" ht="28.8" x14ac:dyDescent="0.3">
      <c r="A30" s="351" t="s">
        <v>373</v>
      </c>
      <c r="B30" s="350" t="s">
        <v>374</v>
      </c>
      <c r="C30" s="350" t="s">
        <v>375</v>
      </c>
      <c r="D30" s="350" t="s">
        <v>376</v>
      </c>
      <c r="E30" s="350" t="s">
        <v>377</v>
      </c>
      <c r="F30" s="350"/>
    </row>
    <row r="31" spans="1:6" x14ac:dyDescent="0.3">
      <c r="B31" s="350"/>
      <c r="C31" s="350"/>
      <c r="D31" s="350"/>
      <c r="E31" s="350" t="s">
        <v>378</v>
      </c>
      <c r="F31" s="350"/>
    </row>
    <row r="32" spans="1:6" ht="28.8" x14ac:dyDescent="0.3">
      <c r="B32" s="350"/>
      <c r="C32" s="350"/>
      <c r="D32" s="350"/>
      <c r="E32" s="350" t="s">
        <v>394</v>
      </c>
      <c r="F32" s="350"/>
    </row>
    <row r="33" spans="1:6" ht="28.8" x14ac:dyDescent="0.3">
      <c r="A33" s="351" t="s">
        <v>379</v>
      </c>
      <c r="B33" s="350"/>
      <c r="C33" s="350" t="s">
        <v>380</v>
      </c>
      <c r="D33" s="350" t="s">
        <v>381</v>
      </c>
      <c r="E33" s="350" t="s">
        <v>378</v>
      </c>
      <c r="F33" s="350"/>
    </row>
    <row r="34" spans="1:6" ht="43.2" x14ac:dyDescent="0.3">
      <c r="B34" s="350"/>
      <c r="C34" s="350"/>
      <c r="D34" s="350" t="s">
        <v>382</v>
      </c>
      <c r="E34" s="350"/>
      <c r="F34" s="350"/>
    </row>
    <row r="35" spans="1:6" ht="43.2" x14ac:dyDescent="0.3">
      <c r="A35" s="351" t="s">
        <v>383</v>
      </c>
      <c r="B35" s="350" t="s">
        <v>384</v>
      </c>
      <c r="C35" s="350" t="s">
        <v>385</v>
      </c>
      <c r="D35" s="350" t="s">
        <v>386</v>
      </c>
      <c r="E35" s="350" t="s">
        <v>387</v>
      </c>
      <c r="F35" s="350"/>
    </row>
    <row r="36" spans="1:6" ht="28.8" x14ac:dyDescent="0.3">
      <c r="B36" s="350"/>
      <c r="C36" s="350"/>
      <c r="D36" s="350" t="s">
        <v>388</v>
      </c>
      <c r="E36" s="350"/>
      <c r="F36" s="350"/>
    </row>
    <row r="37" spans="1:6" ht="28.8" x14ac:dyDescent="0.3">
      <c r="B37" s="350"/>
      <c r="C37" s="350"/>
      <c r="D37" s="350" t="s">
        <v>389</v>
      </c>
      <c r="E37" s="350"/>
      <c r="F37" s="350"/>
    </row>
    <row r="38" spans="1:6" x14ac:dyDescent="0.3">
      <c r="A38" s="351" t="s">
        <v>67</v>
      </c>
      <c r="B38" s="350"/>
      <c r="C38" s="350" t="s">
        <v>390</v>
      </c>
      <c r="D38" s="350"/>
      <c r="E38" s="350" t="s">
        <v>391</v>
      </c>
      <c r="F38" s="350" t="s">
        <v>392</v>
      </c>
    </row>
    <row r="39" spans="1:6" ht="28.8" x14ac:dyDescent="0.3">
      <c r="E39" s="350" t="s">
        <v>393</v>
      </c>
    </row>
    <row r="40" spans="1:6" ht="100.8" x14ac:dyDescent="0.3">
      <c r="E40" s="350" t="s">
        <v>484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workbookViewId="0">
      <selection activeCell="M76" sqref="M76"/>
    </sheetView>
  </sheetViews>
  <sheetFormatPr defaultRowHeight="14.4" x14ac:dyDescent="0.3"/>
  <cols>
    <col min="2" max="2" width="13.109375" customWidth="1"/>
    <col min="3" max="6" width="18.33203125" customWidth="1"/>
    <col min="7" max="7" width="11.5546875" bestFit="1" customWidth="1"/>
  </cols>
  <sheetData>
    <row r="1" spans="1:6" s="225" customFormat="1" x14ac:dyDescent="0.3">
      <c r="A1">
        <v>1</v>
      </c>
      <c r="B1" s="225" t="s">
        <v>418</v>
      </c>
    </row>
    <row r="2" spans="1:6" x14ac:dyDescent="0.3">
      <c r="B2" s="65" t="s">
        <v>73</v>
      </c>
      <c r="C2" s="225" t="s">
        <v>415</v>
      </c>
      <c r="D2" s="225" t="s">
        <v>414</v>
      </c>
      <c r="E2" s="225" t="s">
        <v>416</v>
      </c>
      <c r="F2" s="225" t="s">
        <v>417</v>
      </c>
    </row>
    <row r="3" spans="1:6" x14ac:dyDescent="0.3">
      <c r="B3" s="64">
        <v>2009</v>
      </c>
      <c r="C3" s="58">
        <v>939.38800000000003</v>
      </c>
      <c r="D3" s="58">
        <v>442.36500000000007</v>
      </c>
      <c r="E3" s="58">
        <v>80.599999999999994</v>
      </c>
      <c r="F3" s="58">
        <v>1462.3530000000001</v>
      </c>
    </row>
    <row r="4" spans="1:6" x14ac:dyDescent="0.3">
      <c r="B4" s="64">
        <v>2010</v>
      </c>
      <c r="C4" s="58">
        <v>982.41816666666682</v>
      </c>
      <c r="D4" s="58">
        <v>423.21500000000003</v>
      </c>
      <c r="E4" s="58">
        <v>129.95699999999999</v>
      </c>
      <c r="F4" s="58">
        <v>1535.5901666666671</v>
      </c>
    </row>
    <row r="5" spans="1:6" x14ac:dyDescent="0.3">
      <c r="B5" s="64">
        <v>2011</v>
      </c>
      <c r="C5" s="58">
        <v>1039.2321666666667</v>
      </c>
      <c r="D5" s="58">
        <v>464.55200000000002</v>
      </c>
      <c r="E5" s="58">
        <v>170.596</v>
      </c>
      <c r="F5" s="58">
        <v>1674.3801666666666</v>
      </c>
    </row>
    <row r="6" spans="1:6" x14ac:dyDescent="0.3">
      <c r="B6" s="64">
        <v>2012</v>
      </c>
      <c r="C6" s="58">
        <v>1096.0836666666667</v>
      </c>
      <c r="D6" s="58">
        <v>570.72340000000008</v>
      </c>
      <c r="E6" s="58">
        <v>203.83660000000003</v>
      </c>
      <c r="F6" s="58">
        <v>1870.6436666666664</v>
      </c>
    </row>
    <row r="7" spans="1:6" x14ac:dyDescent="0.3">
      <c r="B7" s="64">
        <v>2013</v>
      </c>
      <c r="C7" s="58">
        <v>1109.0321666666666</v>
      </c>
      <c r="D7" s="58">
        <v>662.05799999999999</v>
      </c>
      <c r="E7" s="58">
        <v>241.05400000000003</v>
      </c>
      <c r="F7" s="58">
        <v>2012.1441666666669</v>
      </c>
    </row>
    <row r="8" spans="1:6" x14ac:dyDescent="0.3">
      <c r="B8" s="64">
        <v>2014</v>
      </c>
      <c r="C8" s="58">
        <v>1095.3683333333331</v>
      </c>
      <c r="D8" s="58">
        <v>742.96799999999996</v>
      </c>
      <c r="E8" s="58">
        <v>296.46799999999996</v>
      </c>
      <c r="F8" s="58">
        <v>2134.8043333333335</v>
      </c>
    </row>
    <row r="9" spans="1:6" x14ac:dyDescent="0.3">
      <c r="B9" s="64">
        <v>2015</v>
      </c>
      <c r="C9" s="58">
        <v>1091.0358333333334</v>
      </c>
      <c r="D9" s="58">
        <v>827.70899999999995</v>
      </c>
      <c r="E9" s="58">
        <v>313.50700000000001</v>
      </c>
      <c r="F9" s="58">
        <v>2232.2518333333337</v>
      </c>
    </row>
    <row r="10" spans="1:6" x14ac:dyDescent="0.3">
      <c r="B10" s="64">
        <v>2016</v>
      </c>
      <c r="C10" s="58">
        <v>1012.7768333333335</v>
      </c>
      <c r="D10" s="58">
        <v>765.125</v>
      </c>
      <c r="E10" s="58">
        <v>314.04899999999998</v>
      </c>
      <c r="F10" s="58">
        <v>2091.9508333333333</v>
      </c>
    </row>
    <row r="11" spans="1:6" x14ac:dyDescent="0.3">
      <c r="B11" s="64" t="s">
        <v>74</v>
      </c>
      <c r="C11" s="58">
        <v>8365.3351666666658</v>
      </c>
      <c r="D11" s="58">
        <v>4898.7154</v>
      </c>
      <c r="E11" s="58">
        <v>1750.0676000000003</v>
      </c>
      <c r="F11" s="58">
        <v>15014.118166666667</v>
      </c>
    </row>
    <row r="13" spans="1:6" x14ac:dyDescent="0.3">
      <c r="A13" s="225">
        <v>2</v>
      </c>
      <c r="B13" t="s">
        <v>419</v>
      </c>
    </row>
    <row r="14" spans="1:6" x14ac:dyDescent="0.3">
      <c r="A14" s="225"/>
      <c r="B14" s="65" t="s">
        <v>73</v>
      </c>
      <c r="C14" s="225" t="s">
        <v>427</v>
      </c>
      <c r="D14" s="225" t="s">
        <v>316</v>
      </c>
      <c r="E14" s="225" t="s">
        <v>429</v>
      </c>
    </row>
    <row r="15" spans="1:6" x14ac:dyDescent="0.3">
      <c r="A15" s="225"/>
      <c r="B15" s="64">
        <v>2009</v>
      </c>
      <c r="C15" s="67">
        <v>18.159319304846328</v>
      </c>
      <c r="D15" s="67">
        <v>18.405070995252892</v>
      </c>
      <c r="E15" s="67">
        <v>3.9734339646529291</v>
      </c>
    </row>
    <row r="16" spans="1:6" x14ac:dyDescent="0.3">
      <c r="A16" s="225"/>
      <c r="B16" s="64">
        <v>2010</v>
      </c>
      <c r="C16" s="67">
        <v>16.394098560058584</v>
      </c>
      <c r="D16" s="67">
        <v>19.755992721928298</v>
      </c>
      <c r="E16" s="67">
        <v>5.879670703578439</v>
      </c>
    </row>
    <row r="17" spans="1:5" x14ac:dyDescent="0.3">
      <c r="A17" s="225"/>
      <c r="B17" s="64">
        <v>2011</v>
      </c>
      <c r="C17" s="67">
        <v>13.638083608187035</v>
      </c>
      <c r="D17" s="67">
        <v>23.393975176540039</v>
      </c>
      <c r="E17" s="67">
        <v>6.3309879181216004</v>
      </c>
    </row>
    <row r="18" spans="1:5" x14ac:dyDescent="0.3">
      <c r="A18" s="225"/>
      <c r="B18" s="64">
        <v>2012</v>
      </c>
      <c r="C18" s="67">
        <v>18.334898266769663</v>
      </c>
      <c r="D18" s="67">
        <v>21.907129432560794</v>
      </c>
      <c r="E18" s="67">
        <v>6.1673876208314109</v>
      </c>
    </row>
    <row r="19" spans="1:5" x14ac:dyDescent="0.3">
      <c r="A19" s="225"/>
      <c r="B19" s="64">
        <v>2013</v>
      </c>
      <c r="C19" s="67">
        <v>17.224964019033031</v>
      </c>
      <c r="D19" s="67">
        <v>20.936920763344673</v>
      </c>
      <c r="E19" s="67">
        <v>4.9982615385126667</v>
      </c>
    </row>
    <row r="20" spans="1:5" x14ac:dyDescent="0.3">
      <c r="A20" s="225"/>
      <c r="B20" s="64">
        <v>2014</v>
      </c>
      <c r="C20" s="67">
        <v>16.346031545188541</v>
      </c>
      <c r="D20" s="67">
        <v>20.751248190268903</v>
      </c>
      <c r="E20" s="67">
        <v>6.4527215636465769</v>
      </c>
    </row>
    <row r="21" spans="1:5" x14ac:dyDescent="0.3">
      <c r="A21" s="225"/>
      <c r="B21" s="64">
        <v>2015</v>
      </c>
      <c r="C21" s="67">
        <v>22.768262390105029</v>
      </c>
      <c r="D21" s="67">
        <v>15.58676673294276</v>
      </c>
      <c r="E21" s="67">
        <v>3.607732981233247</v>
      </c>
    </row>
    <row r="22" spans="1:5" x14ac:dyDescent="0.3">
      <c r="A22" s="225"/>
      <c r="B22" s="64">
        <v>2016</v>
      </c>
      <c r="C22" s="67">
        <v>25.656499054071318</v>
      </c>
      <c r="D22" s="67">
        <v>13.576032897424396</v>
      </c>
      <c r="E22" s="67">
        <v>3.0477652398520059</v>
      </c>
    </row>
    <row r="23" spans="1:5" x14ac:dyDescent="0.3">
      <c r="A23" s="225"/>
      <c r="B23" s="64" t="s">
        <v>74</v>
      </c>
      <c r="C23" s="67">
        <v>18.016466954424505</v>
      </c>
      <c r="D23" s="67">
        <v>19.116980180088685</v>
      </c>
      <c r="E23" s="67">
        <v>5.0111805639312834</v>
      </c>
    </row>
    <row r="24" spans="1:5" x14ac:dyDescent="0.3">
      <c r="A24" s="225"/>
    </row>
    <row r="25" spans="1:5" x14ac:dyDescent="0.3">
      <c r="A25" s="225">
        <v>3</v>
      </c>
      <c r="B25" s="75" t="s">
        <v>420</v>
      </c>
    </row>
    <row r="26" spans="1:5" x14ac:dyDescent="0.3">
      <c r="A26" s="225"/>
      <c r="B26" s="65" t="s">
        <v>73</v>
      </c>
      <c r="C26" s="225" t="s">
        <v>427</v>
      </c>
      <c r="D26" s="225" t="s">
        <v>316</v>
      </c>
      <c r="E26" s="225" t="s">
        <v>428</v>
      </c>
    </row>
    <row r="27" spans="1:5" x14ac:dyDescent="0.3">
      <c r="A27" s="225"/>
      <c r="B27" s="64">
        <v>2009</v>
      </c>
      <c r="C27" s="66">
        <v>18.159319304846328</v>
      </c>
      <c r="D27" s="58">
        <v>18.405070995252892</v>
      </c>
      <c r="E27" s="66">
        <v>21.329268651276401</v>
      </c>
    </row>
    <row r="28" spans="1:5" x14ac:dyDescent="0.3">
      <c r="A28" s="225"/>
      <c r="B28" s="64">
        <v>2010</v>
      </c>
      <c r="C28" s="66">
        <v>16.394098560058584</v>
      </c>
      <c r="D28" s="58">
        <v>19.755992721928298</v>
      </c>
      <c r="E28" s="66">
        <v>39.040714313856085</v>
      </c>
    </row>
    <row r="29" spans="1:5" x14ac:dyDescent="0.3">
      <c r="A29" s="225"/>
      <c r="B29" s="64">
        <v>2011</v>
      </c>
      <c r="C29" s="66">
        <v>13.638083608187035</v>
      </c>
      <c r="D29" s="58">
        <v>23.393975176540039</v>
      </c>
      <c r="E29" s="66">
        <v>39.915904004675959</v>
      </c>
    </row>
    <row r="30" spans="1:5" x14ac:dyDescent="0.3">
      <c r="A30" s="225"/>
      <c r="B30" s="64">
        <v>2012</v>
      </c>
      <c r="C30" s="66">
        <v>18.334898266769663</v>
      </c>
      <c r="D30" s="58">
        <v>21.907129432560794</v>
      </c>
      <c r="E30" s="66">
        <v>39.766746775753305</v>
      </c>
    </row>
    <row r="31" spans="1:5" x14ac:dyDescent="0.3">
      <c r="A31" s="225"/>
      <c r="B31" s="64">
        <v>2013</v>
      </c>
      <c r="C31" s="66">
        <v>17.224964019033031</v>
      </c>
      <c r="D31" s="58">
        <v>20.936920763344673</v>
      </c>
      <c r="E31" s="66">
        <v>29.045694621781983</v>
      </c>
    </row>
    <row r="32" spans="1:5" x14ac:dyDescent="0.3">
      <c r="A32" s="225"/>
      <c r="B32" s="64">
        <v>2014</v>
      </c>
      <c r="C32" s="66">
        <v>16.346031545188541</v>
      </c>
      <c r="D32" s="58">
        <v>20.751248190268903</v>
      </c>
      <c r="E32" s="66">
        <v>43.775967446196859</v>
      </c>
    </row>
    <row r="33" spans="1:5" x14ac:dyDescent="0.3">
      <c r="A33" s="225"/>
      <c r="B33" s="64">
        <v>2015</v>
      </c>
      <c r="C33" s="66">
        <v>22.768262390105029</v>
      </c>
      <c r="D33" s="58">
        <v>15.58676673294276</v>
      </c>
      <c r="E33" s="66">
        <v>20.490563079389712</v>
      </c>
    </row>
    <row r="34" spans="1:5" x14ac:dyDescent="0.3">
      <c r="A34" s="225"/>
      <c r="B34" s="64">
        <v>2016</v>
      </c>
      <c r="C34" s="66">
        <v>25.656499054071318</v>
      </c>
      <c r="D34" s="58">
        <v>13.576032897424396</v>
      </c>
      <c r="E34" s="66">
        <v>16.90161950109567</v>
      </c>
    </row>
    <row r="35" spans="1:5" x14ac:dyDescent="0.3">
      <c r="A35" s="225"/>
      <c r="B35" s="64" t="s">
        <v>74</v>
      </c>
      <c r="C35" s="66">
        <v>18.016466954424505</v>
      </c>
      <c r="D35" s="58">
        <v>19.116980180088685</v>
      </c>
      <c r="E35" s="66">
        <v>30.99482545922417</v>
      </c>
    </row>
    <row r="37" spans="1:5" x14ac:dyDescent="0.3">
      <c r="A37" s="225">
        <v>4</v>
      </c>
      <c r="B37" s="225" t="s">
        <v>421</v>
      </c>
    </row>
    <row r="38" spans="1:5" x14ac:dyDescent="0.3">
      <c r="A38" s="225"/>
      <c r="B38" s="65" t="s">
        <v>73</v>
      </c>
      <c r="C38" s="225" t="s">
        <v>427</v>
      </c>
      <c r="D38" s="225" t="s">
        <v>316</v>
      </c>
      <c r="E38" s="225" t="s">
        <v>429</v>
      </c>
    </row>
    <row r="39" spans="1:5" x14ac:dyDescent="0.3">
      <c r="A39" s="225"/>
      <c r="B39" s="64">
        <v>2009</v>
      </c>
      <c r="C39" s="67">
        <v>3.0265532174743881</v>
      </c>
      <c r="D39" s="67">
        <v>3.0675118325421487</v>
      </c>
      <c r="E39" s="67">
        <v>0.66223899410882148</v>
      </c>
    </row>
    <row r="40" spans="1:5" x14ac:dyDescent="0.3">
      <c r="A40" s="225"/>
      <c r="B40" s="64">
        <v>2010</v>
      </c>
      <c r="C40" s="67">
        <v>2.7323497600097642</v>
      </c>
      <c r="D40" s="67">
        <v>3.2926654536547169</v>
      </c>
      <c r="E40" s="67">
        <v>0.97994511726307332</v>
      </c>
    </row>
    <row r="41" spans="1:5" x14ac:dyDescent="0.3">
      <c r="A41" s="225"/>
      <c r="B41" s="64">
        <v>2011</v>
      </c>
      <c r="C41" s="67">
        <v>2.2730139346978389</v>
      </c>
      <c r="D41" s="67">
        <v>3.8989958627566725</v>
      </c>
      <c r="E41" s="67">
        <v>1.0551646530202665</v>
      </c>
    </row>
    <row r="42" spans="1:5" x14ac:dyDescent="0.3">
      <c r="A42" s="225"/>
      <c r="B42" s="64">
        <v>2012</v>
      </c>
      <c r="C42" s="67">
        <v>3.0558163777949434</v>
      </c>
      <c r="D42" s="67">
        <v>3.6511882387601315</v>
      </c>
      <c r="E42" s="67">
        <v>1.027897936805235</v>
      </c>
    </row>
    <row r="43" spans="1:5" x14ac:dyDescent="0.3">
      <c r="A43" s="225"/>
      <c r="B43" s="64">
        <v>2013</v>
      </c>
      <c r="C43" s="67">
        <v>2.8708273365055059</v>
      </c>
      <c r="D43" s="67">
        <v>3.4894867938907788</v>
      </c>
      <c r="E43" s="67">
        <v>0.83304358975211112</v>
      </c>
    </row>
    <row r="44" spans="1:5" x14ac:dyDescent="0.3">
      <c r="A44" s="225"/>
      <c r="B44" s="64">
        <v>2014</v>
      </c>
      <c r="C44" s="67">
        <v>2.7243385908647562</v>
      </c>
      <c r="D44" s="67">
        <v>3.4585413650448174</v>
      </c>
      <c r="E44" s="67">
        <v>1.0754535939410961</v>
      </c>
    </row>
    <row r="45" spans="1:5" x14ac:dyDescent="0.3">
      <c r="A45" s="225"/>
      <c r="B45" s="64">
        <v>2015</v>
      </c>
      <c r="C45" s="67">
        <v>3.7947103983508392</v>
      </c>
      <c r="D45" s="67">
        <v>2.5977944554904604</v>
      </c>
      <c r="E45" s="67">
        <v>0.60128883020554136</v>
      </c>
    </row>
    <row r="46" spans="1:5" x14ac:dyDescent="0.3">
      <c r="A46" s="225"/>
      <c r="B46" s="64">
        <v>2016</v>
      </c>
      <c r="C46" s="67">
        <v>4.2760831756785525</v>
      </c>
      <c r="D46" s="67">
        <v>2.262672149570732</v>
      </c>
      <c r="E46" s="67">
        <v>0.50796087330866757</v>
      </c>
    </row>
    <row r="47" spans="1:5" x14ac:dyDescent="0.3">
      <c r="A47" s="225"/>
      <c r="B47" s="64" t="s">
        <v>74</v>
      </c>
      <c r="C47" s="67">
        <v>3.0027444924040823</v>
      </c>
      <c r="D47" s="67">
        <v>3.1861633633481135</v>
      </c>
      <c r="E47" s="67">
        <v>0.83519676065521387</v>
      </c>
    </row>
    <row r="49" spans="1:5" x14ac:dyDescent="0.3">
      <c r="A49" s="225">
        <v>5</v>
      </c>
      <c r="B49" s="75" t="s">
        <v>422</v>
      </c>
    </row>
    <row r="50" spans="1:5" x14ac:dyDescent="0.3">
      <c r="A50" s="225"/>
      <c r="B50" s="65" t="s">
        <v>73</v>
      </c>
      <c r="C50" s="225" t="s">
        <v>427</v>
      </c>
      <c r="D50" s="225" t="s">
        <v>316</v>
      </c>
      <c r="E50" s="225" t="s">
        <v>428</v>
      </c>
    </row>
    <row r="51" spans="1:5" x14ac:dyDescent="0.3">
      <c r="A51" s="225"/>
      <c r="B51" s="64">
        <v>2009</v>
      </c>
      <c r="C51" s="67">
        <v>3.0265532174743881</v>
      </c>
      <c r="D51" s="67">
        <v>3.0675118325421487</v>
      </c>
      <c r="E51" s="67">
        <v>3.5548781085460668</v>
      </c>
    </row>
    <row r="52" spans="1:5" x14ac:dyDescent="0.3">
      <c r="A52" s="225"/>
      <c r="B52" s="64">
        <v>2010</v>
      </c>
      <c r="C52" s="67">
        <v>2.7323497600097642</v>
      </c>
      <c r="D52" s="67">
        <v>3.2926654536547169</v>
      </c>
      <c r="E52" s="67">
        <v>6.5067857189760145</v>
      </c>
    </row>
    <row r="53" spans="1:5" x14ac:dyDescent="0.3">
      <c r="A53" s="225"/>
      <c r="B53" s="64">
        <v>2011</v>
      </c>
      <c r="C53" s="67">
        <v>2.2730139346978389</v>
      </c>
      <c r="D53" s="67">
        <v>3.8989958627566725</v>
      </c>
      <c r="E53" s="67">
        <v>6.6526506674459931</v>
      </c>
    </row>
    <row r="54" spans="1:5" x14ac:dyDescent="0.3">
      <c r="A54" s="225"/>
      <c r="B54" s="64">
        <v>2012</v>
      </c>
      <c r="C54" s="67">
        <v>3.0558163777949434</v>
      </c>
      <c r="D54" s="67">
        <v>3.6511882387601315</v>
      </c>
      <c r="E54" s="67">
        <v>6.6277911292922163</v>
      </c>
    </row>
    <row r="55" spans="1:5" x14ac:dyDescent="0.3">
      <c r="A55" s="225"/>
      <c r="B55" s="64">
        <v>2013</v>
      </c>
      <c r="C55" s="67">
        <v>2.8708273365055059</v>
      </c>
      <c r="D55" s="67">
        <v>3.4894867938907788</v>
      </c>
      <c r="E55" s="67">
        <v>4.8409491036303303</v>
      </c>
    </row>
    <row r="56" spans="1:5" x14ac:dyDescent="0.3">
      <c r="A56" s="225"/>
      <c r="B56" s="64">
        <v>2014</v>
      </c>
      <c r="C56" s="67">
        <v>2.7243385908647562</v>
      </c>
      <c r="D56" s="67">
        <v>3.4585413650448174</v>
      </c>
      <c r="E56" s="67">
        <v>7.2959945743661434</v>
      </c>
    </row>
    <row r="57" spans="1:5" x14ac:dyDescent="0.3">
      <c r="A57" s="225"/>
      <c r="B57" s="64">
        <v>2015</v>
      </c>
      <c r="C57" s="67">
        <v>3.7947103983508392</v>
      </c>
      <c r="D57" s="67">
        <v>2.5977944554904604</v>
      </c>
      <c r="E57" s="67">
        <v>3.4150938465649525</v>
      </c>
    </row>
    <row r="58" spans="1:5" x14ac:dyDescent="0.3">
      <c r="A58" s="225"/>
      <c r="B58" s="64">
        <v>2016</v>
      </c>
      <c r="C58" s="67">
        <v>4.2760831756785525</v>
      </c>
      <c r="D58" s="67">
        <v>2.262672149570732</v>
      </c>
      <c r="E58" s="67">
        <v>2.8169365835159446</v>
      </c>
    </row>
    <row r="59" spans="1:5" x14ac:dyDescent="0.3">
      <c r="A59" s="225"/>
      <c r="B59" s="64" t="s">
        <v>74</v>
      </c>
      <c r="C59" s="67">
        <v>3.0027444924040823</v>
      </c>
      <c r="D59" s="67">
        <v>3.1861633633481135</v>
      </c>
      <c r="E59" s="67">
        <v>5.1658042432040272</v>
      </c>
    </row>
    <row r="61" spans="1:5" x14ac:dyDescent="0.3">
      <c r="A61" s="225">
        <v>6</v>
      </c>
      <c r="B61" t="s">
        <v>424</v>
      </c>
    </row>
    <row r="62" spans="1:5" x14ac:dyDescent="0.3">
      <c r="A62" s="225"/>
      <c r="B62" s="65" t="s">
        <v>73</v>
      </c>
      <c r="C62" s="225" t="s">
        <v>425</v>
      </c>
      <c r="D62" s="225" t="s">
        <v>426</v>
      </c>
    </row>
    <row r="63" spans="1:5" x14ac:dyDescent="0.3">
      <c r="A63" s="225"/>
      <c r="B63" s="64">
        <v>2009</v>
      </c>
      <c r="C63" s="58">
        <v>2422.5626666666667</v>
      </c>
      <c r="D63" s="58">
        <v>43992.089</v>
      </c>
      <c r="E63" s="59"/>
    </row>
    <row r="64" spans="1:5" x14ac:dyDescent="0.3">
      <c r="A64" s="225"/>
      <c r="B64" s="64">
        <v>2010</v>
      </c>
      <c r="C64" s="58">
        <v>3069.6387777777782</v>
      </c>
      <c r="D64" s="58">
        <v>50323.960666666659</v>
      </c>
      <c r="E64" s="59"/>
    </row>
    <row r="65" spans="1:13" x14ac:dyDescent="0.3">
      <c r="A65" s="225"/>
      <c r="B65" s="64">
        <v>2011</v>
      </c>
      <c r="C65" s="58">
        <v>3861.1450000000004</v>
      </c>
      <c r="D65" s="58">
        <v>52658.618333333339</v>
      </c>
      <c r="E65" s="59"/>
    </row>
    <row r="66" spans="1:13" x14ac:dyDescent="0.3">
      <c r="A66" s="225"/>
      <c r="B66" s="64">
        <v>2012</v>
      </c>
      <c r="C66" s="58">
        <v>3657.4032222222218</v>
      </c>
      <c r="D66" s="58">
        <v>67058.115999999995</v>
      </c>
      <c r="E66" s="59"/>
    </row>
    <row r="67" spans="1:13" x14ac:dyDescent="0.3">
      <c r="A67" s="225"/>
      <c r="B67" s="64">
        <v>2013</v>
      </c>
      <c r="C67" s="58">
        <v>3863.9255555555555</v>
      </c>
      <c r="D67" s="58">
        <v>66555.978666666662</v>
      </c>
      <c r="E67" s="59"/>
    </row>
    <row r="68" spans="1:13" x14ac:dyDescent="0.3">
      <c r="A68" s="225"/>
      <c r="B68" s="64">
        <v>2014</v>
      </c>
      <c r="C68" s="58">
        <v>4654.0994444444432</v>
      </c>
      <c r="D68" s="58">
        <v>76076.056333333327</v>
      </c>
      <c r="E68" s="59"/>
    </row>
    <row r="69" spans="1:13" x14ac:dyDescent="0.3">
      <c r="A69" s="225"/>
      <c r="B69" s="64">
        <v>2015</v>
      </c>
      <c r="C69" s="58">
        <v>2921.3500000000004</v>
      </c>
      <c r="D69" s="58">
        <v>66514.063333333339</v>
      </c>
      <c r="E69" s="59"/>
    </row>
    <row r="70" spans="1:13" x14ac:dyDescent="0.3">
      <c r="A70" s="225"/>
      <c r="B70" s="64">
        <v>2016</v>
      </c>
      <c r="C70" s="58">
        <v>2267.7889999999998</v>
      </c>
      <c r="D70" s="58">
        <v>58183.526333333335</v>
      </c>
      <c r="E70" s="59"/>
    </row>
    <row r="71" spans="1:13" x14ac:dyDescent="0.3">
      <c r="B71" s="64" t="s">
        <v>74</v>
      </c>
      <c r="C71" s="58">
        <v>26717.913666666645</v>
      </c>
      <c r="D71" s="58">
        <v>481362.40866666654</v>
      </c>
    </row>
    <row r="73" spans="1:13" x14ac:dyDescent="0.3">
      <c r="A73" s="225">
        <v>7</v>
      </c>
      <c r="B73" t="s">
        <v>436</v>
      </c>
    </row>
    <row r="74" spans="1:13" x14ac:dyDescent="0.3">
      <c r="A74" s="225"/>
      <c r="B74" s="65" t="s">
        <v>73</v>
      </c>
      <c r="C74" s="225" t="s">
        <v>430</v>
      </c>
      <c r="D74" s="225" t="s">
        <v>431</v>
      </c>
      <c r="E74" s="225" t="s">
        <v>432</v>
      </c>
      <c r="F74" s="225" t="s">
        <v>433</v>
      </c>
      <c r="G74" s="225" t="s">
        <v>256</v>
      </c>
    </row>
    <row r="75" spans="1:13" x14ac:dyDescent="0.3">
      <c r="A75" s="225"/>
      <c r="B75" s="64">
        <v>2009</v>
      </c>
      <c r="C75" s="58">
        <v>4975.1490000000003</v>
      </c>
      <c r="D75" s="58">
        <v>1447.444</v>
      </c>
      <c r="E75" s="58">
        <v>4539.46</v>
      </c>
      <c r="F75" s="58">
        <v>20228.867000000002</v>
      </c>
      <c r="G75" s="58">
        <v>31190.92</v>
      </c>
      <c r="I75" s="58">
        <f>+SUM(C75:D75)</f>
        <v>6422.5930000000008</v>
      </c>
      <c r="J75" s="85">
        <f>+I75/G75</f>
        <v>0.20591226549264982</v>
      </c>
      <c r="K75" s="58">
        <f>+SUM(E75:F75)</f>
        <v>24768.327000000001</v>
      </c>
    </row>
    <row r="76" spans="1:13" x14ac:dyDescent="0.3">
      <c r="A76" s="225"/>
      <c r="B76" s="64">
        <v>2010</v>
      </c>
      <c r="C76" s="58">
        <v>17275.620999999999</v>
      </c>
      <c r="D76" s="58">
        <v>9931.5540000000001</v>
      </c>
      <c r="E76" s="58">
        <v>5320.5029999999997</v>
      </c>
      <c r="F76" s="58">
        <v>27422.858999999997</v>
      </c>
      <c r="G76" s="58">
        <v>59950.536999999997</v>
      </c>
      <c r="I76" s="58">
        <f t="shared" ref="I76:I82" si="0">+SUM(C76:D76)</f>
        <v>27207.174999999999</v>
      </c>
      <c r="J76" s="85">
        <f>+I76/G76</f>
        <v>0.45382704411805352</v>
      </c>
      <c r="K76" s="58">
        <f t="shared" ref="K76:K82" si="1">+SUM(E76:F76)</f>
        <v>32743.361999999997</v>
      </c>
      <c r="L76" s="85">
        <f t="shared" ref="L76:L81" si="2">+K76/K75</f>
        <v>1.3219852111933112</v>
      </c>
      <c r="M76" s="85">
        <f t="shared" ref="M76:M81" si="3">+F76/F75</f>
        <v>1.3556300014232134</v>
      </c>
    </row>
    <row r="77" spans="1:13" x14ac:dyDescent="0.3">
      <c r="A77" s="225"/>
      <c r="B77" s="64">
        <v>2011</v>
      </c>
      <c r="C77" s="58">
        <v>14036.453</v>
      </c>
      <c r="D77" s="58">
        <v>5725.7740000000003</v>
      </c>
      <c r="E77" s="58">
        <v>8761.6169999999984</v>
      </c>
      <c r="F77" s="58">
        <v>38310.554000000004</v>
      </c>
      <c r="G77" s="58">
        <v>66834.398000000001</v>
      </c>
      <c r="I77" s="58">
        <f t="shared" si="0"/>
        <v>19762.226999999999</v>
      </c>
      <c r="J77" s="85">
        <f t="shared" ref="J77:J82" si="4">+I77/G77</f>
        <v>0.29568945919135831</v>
      </c>
      <c r="K77" s="58">
        <f t="shared" si="1"/>
        <v>47072.171000000002</v>
      </c>
      <c r="L77" s="85">
        <f t="shared" si="2"/>
        <v>1.4376095832798113</v>
      </c>
      <c r="M77" s="85">
        <f t="shared" si="3"/>
        <v>1.3970299012221887</v>
      </c>
    </row>
    <row r="78" spans="1:13" x14ac:dyDescent="0.3">
      <c r="A78" s="225"/>
      <c r="B78" s="64">
        <v>2012</v>
      </c>
      <c r="C78" s="58">
        <v>11950.448</v>
      </c>
      <c r="D78" s="58">
        <v>5150.9279999999999</v>
      </c>
      <c r="E78" s="58">
        <v>11753.657999999999</v>
      </c>
      <c r="F78" s="58">
        <v>45534.379000000001</v>
      </c>
      <c r="G78" s="58">
        <v>74389.413</v>
      </c>
      <c r="I78" s="58">
        <f t="shared" si="0"/>
        <v>17101.376</v>
      </c>
      <c r="J78" s="85">
        <f t="shared" si="4"/>
        <v>0.22988991726551197</v>
      </c>
      <c r="K78" s="58">
        <f t="shared" si="1"/>
        <v>57288.036999999997</v>
      </c>
      <c r="L78" s="85">
        <f t="shared" si="2"/>
        <v>1.2170255967161572</v>
      </c>
      <c r="M78" s="85">
        <f t="shared" si="3"/>
        <v>1.1885596590433016</v>
      </c>
    </row>
    <row r="79" spans="1:13" x14ac:dyDescent="0.3">
      <c r="A79" s="225"/>
      <c r="B79" s="64">
        <v>2013</v>
      </c>
      <c r="C79" s="58">
        <v>3942.2129999999997</v>
      </c>
      <c r="D79" s="58">
        <v>986.75599999999997</v>
      </c>
      <c r="E79" s="58">
        <v>9426.509</v>
      </c>
      <c r="F79" s="58">
        <v>44088.647000000004</v>
      </c>
      <c r="G79" s="58">
        <v>58444.125</v>
      </c>
      <c r="I79" s="58">
        <f t="shared" si="0"/>
        <v>4928.9690000000001</v>
      </c>
      <c r="J79" s="85">
        <f t="shared" si="4"/>
        <v>8.4336432447230589E-2</v>
      </c>
      <c r="K79" s="58">
        <f t="shared" si="1"/>
        <v>53515.156000000003</v>
      </c>
      <c r="L79" s="85">
        <f t="shared" si="2"/>
        <v>0.93414190470516567</v>
      </c>
      <c r="M79" s="85">
        <f t="shared" si="3"/>
        <v>0.9682496603280788</v>
      </c>
    </row>
    <row r="80" spans="1:13" x14ac:dyDescent="0.3">
      <c r="A80" s="225"/>
      <c r="B80" s="64">
        <v>2014</v>
      </c>
      <c r="C80" s="58">
        <v>16351.496000000001</v>
      </c>
      <c r="D80" s="58">
        <v>13319.788</v>
      </c>
      <c r="E80" s="58">
        <v>10610.536999999998</v>
      </c>
      <c r="F80" s="58">
        <v>53171.304000000004</v>
      </c>
      <c r="G80" s="58">
        <v>93453.125</v>
      </c>
      <c r="I80" s="58">
        <f t="shared" si="0"/>
        <v>29671.284</v>
      </c>
      <c r="J80" s="85">
        <f t="shared" si="4"/>
        <v>0.31749910984785151</v>
      </c>
      <c r="K80" s="58">
        <f t="shared" si="1"/>
        <v>63781.841</v>
      </c>
      <c r="L80" s="85">
        <f t="shared" si="2"/>
        <v>1.1918463061193356</v>
      </c>
      <c r="M80" s="85">
        <f t="shared" si="3"/>
        <v>1.2060089755079124</v>
      </c>
    </row>
    <row r="81" spans="1:14" x14ac:dyDescent="0.3">
      <c r="A81" s="225"/>
      <c r="B81" s="64">
        <v>2015</v>
      </c>
      <c r="C81" s="58">
        <v>3305.6290000000004</v>
      </c>
      <c r="D81" s="58">
        <v>977.67599999999993</v>
      </c>
      <c r="E81" s="58">
        <v>7500.7180000000008</v>
      </c>
      <c r="F81" s="58">
        <v>33956.074000000001</v>
      </c>
      <c r="G81" s="58">
        <v>45740.097000000002</v>
      </c>
      <c r="I81" s="58">
        <f t="shared" si="0"/>
        <v>4283.3050000000003</v>
      </c>
      <c r="J81" s="85">
        <f t="shared" si="4"/>
        <v>9.3644423185197889E-2</v>
      </c>
      <c r="K81" s="58">
        <f t="shared" si="1"/>
        <v>41456.792000000001</v>
      </c>
      <c r="L81" s="85">
        <f t="shared" si="2"/>
        <v>0.64997797727412732</v>
      </c>
      <c r="M81" s="85">
        <f t="shared" si="3"/>
        <v>0.63861653646861849</v>
      </c>
    </row>
    <row r="82" spans="1:14" x14ac:dyDescent="0.3">
      <c r="A82" s="225"/>
      <c r="B82" s="64">
        <v>2016</v>
      </c>
      <c r="C82" s="58">
        <v>9189.8279999999995</v>
      </c>
      <c r="D82" s="58">
        <v>6234.8859999999995</v>
      </c>
      <c r="E82" s="58">
        <v>5193.5280000000002</v>
      </c>
      <c r="F82" s="58">
        <v>14739.115000000002</v>
      </c>
      <c r="G82" s="58">
        <v>35357.357000000004</v>
      </c>
      <c r="I82" s="58">
        <f t="shared" si="0"/>
        <v>15424.714</v>
      </c>
      <c r="J82" s="85">
        <f t="shared" si="4"/>
        <v>0.43625189518549135</v>
      </c>
      <c r="K82" s="58">
        <f t="shared" si="1"/>
        <v>19932.643000000004</v>
      </c>
      <c r="L82" s="85">
        <f>+K82/K81</f>
        <v>0.48080524416843451</v>
      </c>
      <c r="M82" s="85">
        <f>+F82/F81</f>
        <v>0.43406416772445489</v>
      </c>
      <c r="N82" s="85">
        <f>+F82/F80</f>
        <v>0.27720055539732485</v>
      </c>
    </row>
    <row r="83" spans="1:14" x14ac:dyDescent="0.3">
      <c r="A83" s="225"/>
      <c r="B83" s="64" t="s">
        <v>74</v>
      </c>
      <c r="C83" s="58">
        <v>81026.837</v>
      </c>
      <c r="D83" s="58">
        <v>43774.806000000004</v>
      </c>
      <c r="E83" s="58">
        <v>63106.529999999992</v>
      </c>
      <c r="F83" s="58">
        <v>277451.799</v>
      </c>
      <c r="G83" s="58">
        <v>465359.97200000001</v>
      </c>
    </row>
    <row r="84" spans="1:14" x14ac:dyDescent="0.3">
      <c r="A84" s="225"/>
    </row>
    <row r="85" spans="1:14" x14ac:dyDescent="0.3">
      <c r="A85" s="225">
        <v>8</v>
      </c>
      <c r="B85" t="s">
        <v>437</v>
      </c>
    </row>
    <row r="86" spans="1:14" x14ac:dyDescent="0.3">
      <c r="A86" s="225"/>
      <c r="B86" s="65" t="s">
        <v>73</v>
      </c>
      <c r="C86" s="225" t="s">
        <v>434</v>
      </c>
      <c r="D86" s="225" t="s">
        <v>457</v>
      </c>
      <c r="E86" s="225" t="s">
        <v>435</v>
      </c>
      <c r="F86" s="225" t="s">
        <v>475</v>
      </c>
    </row>
    <row r="87" spans="1:14" x14ac:dyDescent="0.3">
      <c r="A87" s="225"/>
      <c r="B87" s="64">
        <v>2009</v>
      </c>
      <c r="C87" s="58">
        <v>1764.2271666666668</v>
      </c>
      <c r="D87" s="58">
        <v>699.44600000000003</v>
      </c>
      <c r="E87" s="58">
        <v>284.08199999999999</v>
      </c>
      <c r="F87" s="58">
        <v>31190.92</v>
      </c>
    </row>
    <row r="88" spans="1:14" x14ac:dyDescent="0.3">
      <c r="A88" s="225"/>
      <c r="B88" s="64">
        <v>2010</v>
      </c>
      <c r="C88" s="58">
        <v>2876.8961666666669</v>
      </c>
      <c r="D88" s="58">
        <v>1247.3129999999999</v>
      </c>
      <c r="E88" s="58">
        <v>533.65</v>
      </c>
      <c r="F88" s="58">
        <v>59950.536999999997</v>
      </c>
    </row>
    <row r="89" spans="1:14" x14ac:dyDescent="0.3">
      <c r="A89" s="225"/>
      <c r="B89" s="64">
        <v>2011</v>
      </c>
      <c r="C89" s="58">
        <v>2187.3556666666664</v>
      </c>
      <c r="D89" s="58">
        <v>1365.204</v>
      </c>
      <c r="E89" s="58">
        <v>625.26099999999997</v>
      </c>
      <c r="F89" s="58">
        <v>66834.398000000001</v>
      </c>
    </row>
    <row r="90" spans="1:14" x14ac:dyDescent="0.3">
      <c r="A90" s="225"/>
      <c r="B90" s="64">
        <v>2012</v>
      </c>
      <c r="C90" s="58">
        <v>-379.01616666666672</v>
      </c>
      <c r="D90" s="58">
        <v>1886.4390000000001</v>
      </c>
      <c r="E90" s="58">
        <v>629.10700000000008</v>
      </c>
      <c r="F90" s="58">
        <v>74389.413</v>
      </c>
    </row>
    <row r="91" spans="1:14" x14ac:dyDescent="0.3">
      <c r="A91" s="225"/>
      <c r="B91" s="64">
        <v>2013</v>
      </c>
      <c r="C91" s="58">
        <v>2579.5891666666666</v>
      </c>
      <c r="D91" s="58">
        <v>1646.9950000000001</v>
      </c>
      <c r="E91" s="58">
        <v>1050.8419999999999</v>
      </c>
      <c r="F91" s="58">
        <v>58444.125</v>
      </c>
    </row>
    <row r="92" spans="1:14" x14ac:dyDescent="0.3">
      <c r="A92" s="225"/>
      <c r="B92" s="64">
        <v>2014</v>
      </c>
      <c r="C92" s="58">
        <v>2542.7363333333333</v>
      </c>
      <c r="D92" s="58">
        <v>2632.6449999999995</v>
      </c>
      <c r="E92" s="58">
        <v>1122.876</v>
      </c>
      <c r="F92" s="58">
        <v>93453.125</v>
      </c>
    </row>
    <row r="93" spans="1:14" x14ac:dyDescent="0.3">
      <c r="A93" s="225"/>
      <c r="B93" s="64">
        <v>2015</v>
      </c>
      <c r="C93" s="58">
        <v>-1503.1949999999999</v>
      </c>
      <c r="D93" s="58">
        <v>-609.76400000000001</v>
      </c>
      <c r="E93" s="58">
        <v>-503.88599999999997</v>
      </c>
      <c r="F93" s="58">
        <v>45740.097000000002</v>
      </c>
    </row>
    <row r="94" spans="1:14" x14ac:dyDescent="0.3">
      <c r="A94" s="225"/>
      <c r="B94" s="64">
        <v>2016</v>
      </c>
      <c r="C94" s="58">
        <v>1521.0866666666668</v>
      </c>
      <c r="D94" s="58">
        <v>922.28</v>
      </c>
      <c r="E94" s="58">
        <v>678.58799999999997</v>
      </c>
      <c r="F94" s="58">
        <v>35357.357000000004</v>
      </c>
    </row>
    <row r="95" spans="1:14" x14ac:dyDescent="0.3">
      <c r="B95" s="64" t="s">
        <v>74</v>
      </c>
      <c r="C95" s="58">
        <v>11589.679999999998</v>
      </c>
      <c r="D95" s="58">
        <v>9790.5580000000009</v>
      </c>
      <c r="E95" s="58">
        <v>4420.5200000000004</v>
      </c>
      <c r="F95" s="58">
        <v>465359.97200000001</v>
      </c>
    </row>
    <row r="97" spans="1:19" x14ac:dyDescent="0.3">
      <c r="A97" s="225">
        <v>9</v>
      </c>
      <c r="B97" t="s">
        <v>438</v>
      </c>
    </row>
    <row r="98" spans="1:19" x14ac:dyDescent="0.3">
      <c r="A98" s="225"/>
      <c r="B98" s="65" t="s">
        <v>73</v>
      </c>
      <c r="C98" s="225" t="s">
        <v>468</v>
      </c>
      <c r="D98" s="225" t="s">
        <v>469</v>
      </c>
      <c r="E98" s="225" t="s">
        <v>470</v>
      </c>
      <c r="F98" s="225" t="s">
        <v>471</v>
      </c>
      <c r="G98" s="225" t="s">
        <v>472</v>
      </c>
      <c r="H98" s="225" t="s">
        <v>473</v>
      </c>
    </row>
    <row r="99" spans="1:19" x14ac:dyDescent="0.3">
      <c r="A99" s="225"/>
      <c r="B99" s="64">
        <v>2009</v>
      </c>
      <c r="C99" s="59">
        <v>9.9542055440786186</v>
      </c>
      <c r="D99" s="59">
        <v>2.4115026991187878</v>
      </c>
      <c r="E99" s="59">
        <v>1.6796773792166952</v>
      </c>
      <c r="F99" s="59">
        <v>2.1472517237630036</v>
      </c>
      <c r="G99" s="59">
        <v>2.2124336490757877</v>
      </c>
      <c r="H99" s="59">
        <v>18.405070995252892</v>
      </c>
      <c r="L99" s="85">
        <f>+C99/$H99</f>
        <v>0.54084037745065183</v>
      </c>
      <c r="M99" s="85">
        <f t="shared" ref="M99:M106" si="5">+D99/$H99</f>
        <v>0.13102381945393049</v>
      </c>
      <c r="N99" s="85">
        <f t="shared" ref="N99:N106" si="6">+E99/$H99</f>
        <v>9.1261662595592499E-2</v>
      </c>
      <c r="O99" s="85">
        <f t="shared" ref="O99:O106" si="7">+F99/$H99</f>
        <v>0.11666631029659331</v>
      </c>
      <c r="P99" s="85">
        <f t="shared" ref="P99:P106" si="8">+G99/$H99</f>
        <v>0.12020783020323188</v>
      </c>
      <c r="Q99" s="85">
        <f t="shared" ref="Q99:Q106" si="9">+H99/$H99</f>
        <v>1</v>
      </c>
      <c r="R99" s="85">
        <f t="shared" ref="R99:R106" si="10">+I99/$H99</f>
        <v>0</v>
      </c>
      <c r="S99" s="85">
        <f t="shared" ref="S99:S106" si="11">+J99/$H99</f>
        <v>0</v>
      </c>
    </row>
    <row r="100" spans="1:19" x14ac:dyDescent="0.3">
      <c r="A100" s="225"/>
      <c r="B100" s="64">
        <v>2010</v>
      </c>
      <c r="C100" s="59">
        <v>9.5045655910143534</v>
      </c>
      <c r="D100" s="59">
        <v>2.0498083050038032</v>
      </c>
      <c r="E100" s="59">
        <v>3.2191447575903789</v>
      </c>
      <c r="F100" s="59">
        <v>2.7459983083594022</v>
      </c>
      <c r="G100" s="59">
        <v>2.2364757599603609</v>
      </c>
      <c r="H100" s="59">
        <v>19.755992721928298</v>
      </c>
      <c r="J100" s="85">
        <f>+C100/C99-1</f>
        <v>-4.5170852769032765E-2</v>
      </c>
      <c r="K100" s="85">
        <f>+H100/H99-1</f>
        <v>7.3399430353941142E-2</v>
      </c>
      <c r="L100" s="85">
        <f t="shared" ref="L100:L106" si="12">+C100/$H100</f>
        <v>0.48109784837411368</v>
      </c>
      <c r="M100" s="85">
        <f t="shared" si="5"/>
        <v>0.10375627961882192</v>
      </c>
      <c r="N100" s="85">
        <f t="shared" si="6"/>
        <v>0.16294522896929736</v>
      </c>
      <c r="O100" s="85">
        <f t="shared" si="7"/>
        <v>0.13899571370622457</v>
      </c>
      <c r="P100" s="85">
        <f t="shared" si="8"/>
        <v>0.1132049293315425</v>
      </c>
      <c r="Q100" s="85">
        <f t="shared" si="9"/>
        <v>1</v>
      </c>
      <c r="R100" s="85">
        <f t="shared" si="10"/>
        <v>0</v>
      </c>
      <c r="S100" s="85">
        <f t="shared" si="11"/>
        <v>-2.2864380142687069E-3</v>
      </c>
    </row>
    <row r="101" spans="1:19" x14ac:dyDescent="0.3">
      <c r="A101" s="225"/>
      <c r="B101" s="64">
        <v>2011</v>
      </c>
      <c r="C101" s="59">
        <v>10.47131825199793</v>
      </c>
      <c r="D101" s="59">
        <v>2.3575169821676725</v>
      </c>
      <c r="E101" s="59">
        <v>4.7741350069355653</v>
      </c>
      <c r="F101" s="59">
        <v>3.6471866554399583</v>
      </c>
      <c r="G101" s="59">
        <v>2.1438182799989161</v>
      </c>
      <c r="H101" s="59">
        <v>23.393975176540046</v>
      </c>
      <c r="J101" s="85">
        <f t="shared" ref="J101:J106" si="13">+C101/C100-1</f>
        <v>0.1017145551499532</v>
      </c>
      <c r="K101" s="85">
        <f t="shared" ref="K101:K106" si="14">+H101/H100-1</f>
        <v>0.18414576811286953</v>
      </c>
      <c r="L101" s="85">
        <f t="shared" si="12"/>
        <v>0.44760747897598785</v>
      </c>
      <c r="M101" s="85">
        <f t="shared" si="5"/>
        <v>0.10077453551082838</v>
      </c>
      <c r="N101" s="85">
        <f t="shared" si="6"/>
        <v>0.20407540706135163</v>
      </c>
      <c r="O101" s="85">
        <f t="shared" si="7"/>
        <v>0.1559028180510951</v>
      </c>
      <c r="P101" s="85">
        <f t="shared" si="8"/>
        <v>9.1639760400736875E-2</v>
      </c>
      <c r="Q101" s="85">
        <f t="shared" si="9"/>
        <v>1</v>
      </c>
      <c r="R101" s="85">
        <f t="shared" si="10"/>
        <v>0</v>
      </c>
      <c r="S101" s="85">
        <f t="shared" si="11"/>
        <v>4.3478953184474022E-3</v>
      </c>
    </row>
    <row r="102" spans="1:19" x14ac:dyDescent="0.3">
      <c r="A102" s="225"/>
      <c r="B102" s="64">
        <v>2012</v>
      </c>
      <c r="C102" s="59">
        <v>9.6856739329118628</v>
      </c>
      <c r="D102" s="59">
        <v>2.4457530801190965</v>
      </c>
      <c r="E102" s="59">
        <v>4.4512983929880319</v>
      </c>
      <c r="F102" s="59">
        <v>3.2216050054785073</v>
      </c>
      <c r="G102" s="59">
        <v>2.1027990210632956</v>
      </c>
      <c r="H102" s="59">
        <v>21.907129432560794</v>
      </c>
      <c r="J102" s="85">
        <f t="shared" si="13"/>
        <v>-7.5028215185434344E-2</v>
      </c>
      <c r="K102" s="85">
        <f t="shared" si="14"/>
        <v>-6.3556780442782235E-2</v>
      </c>
      <c r="L102" s="85">
        <f t="shared" si="12"/>
        <v>0.44212428482373162</v>
      </c>
      <c r="M102" s="85">
        <f t="shared" si="5"/>
        <v>0.11164187839616944</v>
      </c>
      <c r="N102" s="85">
        <f t="shared" si="6"/>
        <v>0.20318948708871098</v>
      </c>
      <c r="O102" s="85">
        <f t="shared" si="7"/>
        <v>0.1470573776174528</v>
      </c>
      <c r="P102" s="85">
        <f t="shared" si="8"/>
        <v>9.5986972073935153E-2</v>
      </c>
      <c r="Q102" s="85">
        <f t="shared" si="9"/>
        <v>1</v>
      </c>
      <c r="R102" s="85">
        <f t="shared" si="10"/>
        <v>0</v>
      </c>
      <c r="S102" s="85">
        <f t="shared" si="11"/>
        <v>-3.4248309627421623E-3</v>
      </c>
    </row>
    <row r="103" spans="1:19" x14ac:dyDescent="0.3">
      <c r="A103" s="225"/>
      <c r="B103" s="64">
        <v>2013</v>
      </c>
      <c r="C103" s="59">
        <v>10.701988891617688</v>
      </c>
      <c r="D103" s="59">
        <v>2.2172810327552779</v>
      </c>
      <c r="E103" s="59">
        <v>3.1495446048465303</v>
      </c>
      <c r="F103" s="59">
        <v>2.8016477613226018</v>
      </c>
      <c r="G103" s="59">
        <v>2.0664584728025783</v>
      </c>
      <c r="H103" s="59">
        <v>20.936920763344673</v>
      </c>
      <c r="J103" s="85">
        <f t="shared" si="13"/>
        <v>0.10492971018282926</v>
      </c>
      <c r="K103" s="85">
        <f t="shared" si="14"/>
        <v>-4.4287348198805532E-2</v>
      </c>
      <c r="L103" s="85">
        <f t="shared" si="12"/>
        <v>0.51115390904827807</v>
      </c>
      <c r="M103" s="85">
        <f t="shared" si="5"/>
        <v>0.10590291943202956</v>
      </c>
      <c r="N103" s="85">
        <f t="shared" si="6"/>
        <v>0.15043017263362804</v>
      </c>
      <c r="O103" s="85">
        <f t="shared" si="7"/>
        <v>0.13381374429364934</v>
      </c>
      <c r="P103" s="85">
        <f t="shared" si="8"/>
        <v>9.8699254592415131E-2</v>
      </c>
      <c r="Q103" s="85">
        <f t="shared" si="9"/>
        <v>1</v>
      </c>
      <c r="R103" s="85">
        <f t="shared" si="10"/>
        <v>0</v>
      </c>
      <c r="S103" s="85">
        <f t="shared" si="11"/>
        <v>5.0117068965812306E-3</v>
      </c>
    </row>
    <row r="104" spans="1:19" x14ac:dyDescent="0.3">
      <c r="A104" s="225"/>
      <c r="B104" s="64">
        <v>2014</v>
      </c>
      <c r="C104" s="59">
        <v>11.357868625899048</v>
      </c>
      <c r="D104" s="59">
        <v>2.0266524707314879</v>
      </c>
      <c r="E104" s="59">
        <v>3.0772908930702072</v>
      </c>
      <c r="F104" s="59">
        <v>2.3945648227245804</v>
      </c>
      <c r="G104" s="59">
        <v>1.8948713778435873</v>
      </c>
      <c r="H104" s="59">
        <v>20.751248190268907</v>
      </c>
      <c r="J104" s="85">
        <f t="shared" si="13"/>
        <v>6.12857797670745E-2</v>
      </c>
      <c r="K104" s="85">
        <f t="shared" si="14"/>
        <v>-8.8681891274495772E-3</v>
      </c>
      <c r="L104" s="85">
        <f t="shared" si="12"/>
        <v>0.54733423848813145</v>
      </c>
      <c r="M104" s="85">
        <f t="shared" si="5"/>
        <v>9.7664123726391869E-2</v>
      </c>
      <c r="N104" s="85">
        <f t="shared" si="6"/>
        <v>0.14829425511441149</v>
      </c>
      <c r="O104" s="85">
        <f t="shared" si="7"/>
        <v>0.11539377298024357</v>
      </c>
      <c r="P104" s="85">
        <f t="shared" si="8"/>
        <v>9.1313609690821806E-2</v>
      </c>
      <c r="Q104" s="85">
        <f t="shared" si="9"/>
        <v>1</v>
      </c>
      <c r="R104" s="85">
        <f t="shared" si="10"/>
        <v>0</v>
      </c>
      <c r="S104" s="85">
        <f t="shared" si="11"/>
        <v>2.9533538997337933E-3</v>
      </c>
    </row>
    <row r="105" spans="1:19" x14ac:dyDescent="0.3">
      <c r="A105" s="225"/>
      <c r="B105" s="64">
        <v>2015</v>
      </c>
      <c r="C105" s="59">
        <v>10.02323282072938</v>
      </c>
      <c r="D105" s="59">
        <v>2.0163399039683982</v>
      </c>
      <c r="E105" s="59">
        <v>0.47426153728476822</v>
      </c>
      <c r="F105" s="59">
        <v>1.2013166077214554</v>
      </c>
      <c r="G105" s="59">
        <v>1.8716158632387567</v>
      </c>
      <c r="H105" s="59">
        <v>15.586766732942758</v>
      </c>
      <c r="J105" s="85">
        <f t="shared" si="13"/>
        <v>-0.11750759311710413</v>
      </c>
      <c r="K105" s="85">
        <f t="shared" si="14"/>
        <v>-0.24887570183599761</v>
      </c>
      <c r="L105" s="85">
        <f t="shared" si="12"/>
        <v>0.64306042378533812</v>
      </c>
      <c r="M105" s="85">
        <f t="shared" si="5"/>
        <v>0.12936229421505663</v>
      </c>
      <c r="N105" s="85">
        <f t="shared" si="6"/>
        <v>3.0427191566446722E-2</v>
      </c>
      <c r="O105" s="85">
        <f t="shared" si="7"/>
        <v>7.7072854704527211E-2</v>
      </c>
      <c r="P105" s="85">
        <f t="shared" si="8"/>
        <v>0.12007723572863135</v>
      </c>
      <c r="Q105" s="85">
        <f t="shared" si="9"/>
        <v>1</v>
      </c>
      <c r="R105" s="85">
        <f t="shared" si="10"/>
        <v>0</v>
      </c>
      <c r="S105" s="85">
        <f t="shared" si="11"/>
        <v>-7.5389331944482668E-3</v>
      </c>
    </row>
    <row r="106" spans="1:19" x14ac:dyDescent="0.3">
      <c r="A106" s="225"/>
      <c r="B106" s="64">
        <v>2016</v>
      </c>
      <c r="C106" s="59">
        <v>8.909927414642075</v>
      </c>
      <c r="D106" s="59">
        <v>2.0090825863889812</v>
      </c>
      <c r="E106" s="59">
        <v>-0.3135111106382632</v>
      </c>
      <c r="F106" s="59">
        <v>1.0053020207214878</v>
      </c>
      <c r="G106" s="59">
        <v>1.9652319863101155</v>
      </c>
      <c r="H106" s="59">
        <v>13.576032897424396</v>
      </c>
      <c r="I106" s="59">
        <f>+H106/H105-1</f>
        <v>-0.12900262575102639</v>
      </c>
      <c r="J106" s="85">
        <f t="shared" si="13"/>
        <v>-0.11107248788882174</v>
      </c>
      <c r="K106" s="85">
        <f t="shared" si="14"/>
        <v>-0.12900262575102639</v>
      </c>
      <c r="L106" s="85">
        <f t="shared" si="12"/>
        <v>0.65629830761035057</v>
      </c>
      <c r="M106" s="85">
        <f t="shared" si="5"/>
        <v>0.14798745712896277</v>
      </c>
      <c r="N106" s="85">
        <f t="shared" si="6"/>
        <v>-2.3092984011385358E-2</v>
      </c>
      <c r="O106" s="85">
        <f t="shared" si="7"/>
        <v>7.4049763161093296E-2</v>
      </c>
      <c r="P106" s="85">
        <f t="shared" si="8"/>
        <v>0.14475745611097873</v>
      </c>
      <c r="Q106" s="85">
        <f t="shared" si="9"/>
        <v>1</v>
      </c>
      <c r="R106" s="85">
        <f t="shared" si="10"/>
        <v>-9.5022328485591979E-3</v>
      </c>
      <c r="S106" s="85">
        <f t="shared" si="11"/>
        <v>-8.1815128711049366E-3</v>
      </c>
    </row>
    <row r="107" spans="1:19" x14ac:dyDescent="0.3">
      <c r="A107" s="225"/>
      <c r="B107" s="64" t="s">
        <v>74</v>
      </c>
      <c r="C107" s="59">
        <v>10.096988175873443</v>
      </c>
      <c r="D107" s="59">
        <v>2.1771856007910944</v>
      </c>
      <c r="E107" s="59">
        <v>2.4663221035610072</v>
      </c>
      <c r="F107" s="59">
        <v>2.3327344151158869</v>
      </c>
      <c r="G107" s="59">
        <v>2.0437498847472519</v>
      </c>
      <c r="H107" s="59">
        <v>19.116980180088685</v>
      </c>
    </row>
    <row r="109" spans="1:19" x14ac:dyDescent="0.3">
      <c r="A109" s="225">
        <v>10</v>
      </c>
    </row>
    <row r="110" spans="1:19" x14ac:dyDescent="0.3">
      <c r="A110" s="225"/>
      <c r="B110" s="65" t="s">
        <v>73</v>
      </c>
      <c r="C110" s="225" t="s">
        <v>439</v>
      </c>
      <c r="D110" s="225" t="s">
        <v>440</v>
      </c>
      <c r="E110" s="225" t="s">
        <v>441</v>
      </c>
      <c r="F110" s="225" t="s">
        <v>442</v>
      </c>
    </row>
    <row r="111" spans="1:19" x14ac:dyDescent="0.3">
      <c r="A111" s="225"/>
      <c r="B111" s="64">
        <v>2009</v>
      </c>
      <c r="C111" s="214">
        <v>-266.35099999999994</v>
      </c>
      <c r="D111" s="214">
        <v>2722.2086666666664</v>
      </c>
      <c r="E111" s="214">
        <v>197.56416666666667</v>
      </c>
      <c r="F111" s="214">
        <v>94.333333333333329</v>
      </c>
    </row>
    <row r="112" spans="1:19" x14ac:dyDescent="0.3">
      <c r="A112" s="225"/>
      <c r="B112" s="64">
        <v>2010</v>
      </c>
      <c r="C112" s="214">
        <v>907.15983333333338</v>
      </c>
      <c r="D112" s="214">
        <v>3167.4879999999998</v>
      </c>
      <c r="E112" s="214">
        <v>360.99533333333329</v>
      </c>
      <c r="F112" s="214">
        <v>222.21600000000001</v>
      </c>
    </row>
    <row r="113" spans="1:6" x14ac:dyDescent="0.3">
      <c r="A113" s="225"/>
      <c r="B113" s="64">
        <v>2011</v>
      </c>
      <c r="C113" s="214">
        <v>158.01966666666667</v>
      </c>
      <c r="D113" s="214">
        <v>3454.4940000000001</v>
      </c>
      <c r="E113" s="214">
        <v>362.91300000000001</v>
      </c>
      <c r="F113" s="214">
        <v>202.39400000000001</v>
      </c>
    </row>
    <row r="114" spans="1:6" x14ac:dyDescent="0.3">
      <c r="A114" s="225"/>
      <c r="B114" s="64">
        <v>2012</v>
      </c>
      <c r="C114" s="214">
        <v>-2337.4663333333333</v>
      </c>
      <c r="D114" s="214">
        <v>3867.8883333333333</v>
      </c>
      <c r="E114" s="214">
        <v>349.60983333333331</v>
      </c>
      <c r="F114" s="214">
        <v>256.49799999999999</v>
      </c>
    </row>
    <row r="115" spans="1:6" x14ac:dyDescent="0.3">
      <c r="A115" s="225"/>
      <c r="B115" s="64">
        <v>2013</v>
      </c>
      <c r="C115" s="214">
        <v>192.70483333333334</v>
      </c>
      <c r="D115" s="214">
        <v>4683.9941666666664</v>
      </c>
      <c r="E115" s="214">
        <v>102.22716666666665</v>
      </c>
      <c r="F115" s="214">
        <v>298.5</v>
      </c>
    </row>
    <row r="116" spans="1:6" x14ac:dyDescent="0.3">
      <c r="A116" s="225"/>
      <c r="B116" s="64">
        <v>2014</v>
      </c>
      <c r="C116" s="214">
        <v>950.1065000000001</v>
      </c>
      <c r="D116" s="214">
        <v>3900.4638333333337</v>
      </c>
      <c r="E116" s="214">
        <v>1159.3536666666666</v>
      </c>
      <c r="F116" s="214">
        <v>288.33333333333331</v>
      </c>
    </row>
    <row r="117" spans="1:6" x14ac:dyDescent="0.3">
      <c r="A117" s="225"/>
      <c r="B117" s="64">
        <v>2015</v>
      </c>
      <c r="C117" s="214">
        <v>-5021.7255000000005</v>
      </c>
      <c r="D117" s="214">
        <v>2184.1996666666664</v>
      </c>
      <c r="E117" s="214">
        <v>98.180833333333325</v>
      </c>
      <c r="F117" s="214">
        <v>122.5</v>
      </c>
    </row>
    <row r="118" spans="1:6" x14ac:dyDescent="0.3">
      <c r="A118" s="225"/>
      <c r="B118" s="64">
        <v>2016</v>
      </c>
      <c r="C118" s="214">
        <v>-205.6853333333334</v>
      </c>
      <c r="D118" s="214">
        <v>2645.5761666666667</v>
      </c>
      <c r="E118" s="214">
        <v>517.06383333333338</v>
      </c>
      <c r="F118" s="214">
        <v>165</v>
      </c>
    </row>
    <row r="119" spans="1:6" x14ac:dyDescent="0.3">
      <c r="B119" s="64" t="s">
        <v>74</v>
      </c>
      <c r="C119" s="214">
        <v>-5623.2373333333335</v>
      </c>
      <c r="D119" s="214">
        <v>26626.312833333333</v>
      </c>
      <c r="E119" s="214">
        <v>3147.9078333333337</v>
      </c>
      <c r="F119" s="214">
        <v>1649.7746666666667</v>
      </c>
    </row>
    <row r="121" spans="1:6" x14ac:dyDescent="0.3">
      <c r="A121" s="225">
        <v>11</v>
      </c>
    </row>
    <row r="122" spans="1:6" x14ac:dyDescent="0.3">
      <c r="A122" s="225"/>
      <c r="B122" s="65" t="s">
        <v>73</v>
      </c>
      <c r="C122" s="225" t="s">
        <v>443</v>
      </c>
      <c r="D122" s="225" t="s">
        <v>444</v>
      </c>
    </row>
    <row r="123" spans="1:6" x14ac:dyDescent="0.3">
      <c r="A123" s="225"/>
      <c r="B123" s="64">
        <v>2009</v>
      </c>
      <c r="C123" s="58">
        <v>3836.2060000000001</v>
      </c>
      <c r="D123" s="58">
        <v>16659</v>
      </c>
    </row>
    <row r="124" spans="1:6" x14ac:dyDescent="0.3">
      <c r="A124" s="225"/>
      <c r="B124" s="64">
        <v>2010</v>
      </c>
      <c r="C124" s="58">
        <v>4240.7119999999995</v>
      </c>
      <c r="D124" s="58">
        <v>25351</v>
      </c>
    </row>
    <row r="125" spans="1:6" x14ac:dyDescent="0.3">
      <c r="A125" s="225"/>
      <c r="B125" s="64">
        <v>2011</v>
      </c>
      <c r="C125" s="58">
        <v>4715.3060000000005</v>
      </c>
      <c r="D125" s="58">
        <v>27598</v>
      </c>
    </row>
    <row r="126" spans="1:6" x14ac:dyDescent="0.3">
      <c r="A126" s="225"/>
      <c r="B126" s="64">
        <v>2012</v>
      </c>
      <c r="C126" s="58">
        <v>5061.0769999999993</v>
      </c>
      <c r="D126" s="58">
        <v>28419.887999999999</v>
      </c>
    </row>
    <row r="127" spans="1:6" x14ac:dyDescent="0.3">
      <c r="A127" s="225"/>
      <c r="B127" s="64">
        <v>2013</v>
      </c>
      <c r="C127" s="58">
        <v>5065.3559999999998</v>
      </c>
      <c r="D127" s="58">
        <v>24593.469000000001</v>
      </c>
    </row>
    <row r="128" spans="1:6" x14ac:dyDescent="0.3">
      <c r="A128" s="225"/>
      <c r="B128" s="64">
        <v>2014</v>
      </c>
      <c r="C128" s="58">
        <v>4614.884</v>
      </c>
      <c r="D128" s="58">
        <v>29855</v>
      </c>
    </row>
    <row r="129" spans="1:6" x14ac:dyDescent="0.3">
      <c r="A129" s="225"/>
      <c r="B129" s="64">
        <v>2015</v>
      </c>
      <c r="C129" s="58">
        <v>4051.7109999999998</v>
      </c>
      <c r="D129" s="58">
        <v>21002</v>
      </c>
    </row>
    <row r="130" spans="1:6" x14ac:dyDescent="0.3">
      <c r="A130" s="225"/>
      <c r="B130" s="64">
        <v>2016</v>
      </c>
      <c r="C130" s="58">
        <v>2808.4120000000003</v>
      </c>
      <c r="D130" s="58">
        <v>17226</v>
      </c>
    </row>
    <row r="131" spans="1:6" x14ac:dyDescent="0.3">
      <c r="A131" s="225"/>
      <c r="B131" s="64" t="s">
        <v>74</v>
      </c>
      <c r="C131" s="58">
        <v>34393.663999999997</v>
      </c>
      <c r="D131" s="58">
        <v>190704.35700000002</v>
      </c>
    </row>
    <row r="132" spans="1:6" x14ac:dyDescent="0.3">
      <c r="A132" s="225"/>
    </row>
    <row r="133" spans="1:6" x14ac:dyDescent="0.3">
      <c r="A133" s="225">
        <v>12</v>
      </c>
      <c r="B133" s="225" t="s">
        <v>445</v>
      </c>
      <c r="C133" s="225"/>
      <c r="D133" s="225"/>
      <c r="E133" s="225"/>
      <c r="F133" s="225"/>
    </row>
    <row r="134" spans="1:6" x14ac:dyDescent="0.3">
      <c r="A134" s="225"/>
      <c r="B134" s="65" t="s">
        <v>73</v>
      </c>
      <c r="C134" s="225" t="s">
        <v>464</v>
      </c>
      <c r="D134" s="225" t="s">
        <v>458</v>
      </c>
    </row>
    <row r="135" spans="1:6" x14ac:dyDescent="0.3">
      <c r="A135" s="225"/>
      <c r="B135" s="64">
        <v>2009</v>
      </c>
      <c r="C135" s="214">
        <v>1462.3530000000001</v>
      </c>
      <c r="D135" s="85">
        <v>0.64238114873768515</v>
      </c>
    </row>
    <row r="136" spans="1:6" x14ac:dyDescent="0.3">
      <c r="A136" s="225"/>
      <c r="B136" s="64">
        <v>2010</v>
      </c>
      <c r="C136" s="214">
        <v>1535.5901666666671</v>
      </c>
      <c r="D136" s="85">
        <v>0.63976586200680063</v>
      </c>
    </row>
    <row r="137" spans="1:6" x14ac:dyDescent="0.3">
      <c r="A137" s="225"/>
      <c r="B137" s="64">
        <v>2011</v>
      </c>
      <c r="C137" s="214">
        <v>1674.3801666666666</v>
      </c>
      <c r="D137" s="85">
        <v>0.62066679201985286</v>
      </c>
    </row>
    <row r="138" spans="1:6" x14ac:dyDescent="0.3">
      <c r="A138" s="225"/>
      <c r="B138" s="64">
        <v>2012</v>
      </c>
      <c r="C138" s="214">
        <v>1870.6436666666664</v>
      </c>
      <c r="D138" s="85">
        <v>0.5859393139366823</v>
      </c>
    </row>
    <row r="139" spans="1:6" x14ac:dyDescent="0.3">
      <c r="A139" s="225"/>
      <c r="B139" s="64">
        <v>2013</v>
      </c>
      <c r="C139" s="214">
        <v>2012.1441666666669</v>
      </c>
      <c r="D139" s="85">
        <v>0.55116933718715466</v>
      </c>
    </row>
    <row r="140" spans="1:6" x14ac:dyDescent="0.3">
      <c r="A140" s="225"/>
      <c r="B140" s="64">
        <v>2014</v>
      </c>
      <c r="C140" s="214">
        <v>2134.8043333333335</v>
      </c>
      <c r="D140" s="85">
        <v>0.51310010769136838</v>
      </c>
    </row>
    <row r="141" spans="1:6" x14ac:dyDescent="0.3">
      <c r="A141" s="225"/>
      <c r="B141" s="64">
        <v>2015</v>
      </c>
      <c r="C141" s="214">
        <v>2232.2518333333337</v>
      </c>
      <c r="D141" s="85">
        <v>0.48876019140910854</v>
      </c>
    </row>
    <row r="142" spans="1:6" x14ac:dyDescent="0.3">
      <c r="A142" s="225"/>
      <c r="B142" s="64">
        <v>2016</v>
      </c>
      <c r="C142" s="214">
        <v>2091.9508333333333</v>
      </c>
      <c r="D142" s="85">
        <v>0.48413032333057543</v>
      </c>
    </row>
    <row r="143" spans="1:6" x14ac:dyDescent="0.3">
      <c r="A143" s="225"/>
      <c r="B143" s="64" t="s">
        <v>74</v>
      </c>
      <c r="C143" s="58">
        <v>15014.118166666667</v>
      </c>
      <c r="D143" s="58">
        <v>0.5571646015973698</v>
      </c>
    </row>
    <row r="145" spans="1:6" x14ac:dyDescent="0.3">
      <c r="A145" s="225">
        <v>13</v>
      </c>
      <c r="B145" s="225" t="s">
        <v>465</v>
      </c>
      <c r="C145" s="225"/>
      <c r="D145" s="225"/>
      <c r="E145" s="225"/>
      <c r="F145" s="225"/>
    </row>
    <row r="146" spans="1:6" x14ac:dyDescent="0.3">
      <c r="A146" s="225"/>
      <c r="B146" s="65" t="s">
        <v>73</v>
      </c>
      <c r="C146" s="225" t="s">
        <v>460</v>
      </c>
      <c r="D146" s="225" t="s">
        <v>459</v>
      </c>
      <c r="E146" s="225" t="s">
        <v>461</v>
      </c>
    </row>
    <row r="147" spans="1:6" x14ac:dyDescent="0.3">
      <c r="A147" s="225"/>
      <c r="B147" s="64">
        <v>2009</v>
      </c>
      <c r="C147" s="58">
        <v>3760.6376666666674</v>
      </c>
      <c r="D147" s="58">
        <v>1505.527</v>
      </c>
      <c r="E147" s="58">
        <v>344.20100000000002</v>
      </c>
    </row>
    <row r="148" spans="1:6" x14ac:dyDescent="0.3">
      <c r="A148" s="225"/>
      <c r="B148" s="64">
        <v>2010</v>
      </c>
      <c r="C148" s="58">
        <v>4653.7556666666669</v>
      </c>
      <c r="D148" s="58">
        <v>1988.84</v>
      </c>
      <c r="E148" s="58">
        <v>493.745</v>
      </c>
    </row>
    <row r="149" spans="1:6" x14ac:dyDescent="0.3">
      <c r="A149" s="225"/>
      <c r="B149" s="64">
        <v>2011</v>
      </c>
      <c r="C149" s="58">
        <v>4574.8641666666663</v>
      </c>
      <c r="D149" s="58">
        <v>2278.402</v>
      </c>
      <c r="E149" s="58">
        <v>669.51599999999996</v>
      </c>
    </row>
    <row r="150" spans="1:6" x14ac:dyDescent="0.3">
      <c r="A150" s="225"/>
      <c r="B150" s="64">
        <v>2012</v>
      </c>
      <c r="C150" s="58">
        <v>3280.7346666666667</v>
      </c>
      <c r="D150" s="58">
        <v>2941.7940000000003</v>
      </c>
      <c r="E150" s="58">
        <v>976.36699999999996</v>
      </c>
    </row>
    <row r="151" spans="1:6" x14ac:dyDescent="0.3">
      <c r="A151" s="225"/>
      <c r="B151" s="64">
        <v>2013</v>
      </c>
      <c r="C151" s="58">
        <v>3582.5671666666672</v>
      </c>
      <c r="D151" s="58">
        <v>3135.7920000000004</v>
      </c>
      <c r="E151" s="58">
        <v>1069.3789999999999</v>
      </c>
    </row>
    <row r="152" spans="1:6" x14ac:dyDescent="0.3">
      <c r="A152" s="225"/>
      <c r="B152" s="64">
        <v>2014</v>
      </c>
      <c r="C152" s="58">
        <v>3885.6916666666662</v>
      </c>
      <c r="D152" s="58">
        <v>3893.991</v>
      </c>
      <c r="E152" s="58">
        <v>1329.4880000000001</v>
      </c>
    </row>
    <row r="153" spans="1:6" x14ac:dyDescent="0.3">
      <c r="A153" s="225"/>
      <c r="B153" s="64">
        <v>2015</v>
      </c>
      <c r="C153" s="58">
        <v>2366.8796666666667</v>
      </c>
      <c r="D153" s="58">
        <v>2764.44</v>
      </c>
      <c r="E153" s="58">
        <v>847.505</v>
      </c>
    </row>
    <row r="154" spans="1:6" x14ac:dyDescent="0.3">
      <c r="A154" s="225"/>
      <c r="B154" s="64">
        <v>2016</v>
      </c>
      <c r="C154" s="58">
        <v>2511.2845000000002</v>
      </c>
      <c r="D154" s="58">
        <v>2842.252</v>
      </c>
      <c r="E154" s="58">
        <v>1011.2850000000001</v>
      </c>
    </row>
    <row r="155" spans="1:6" x14ac:dyDescent="0.3">
      <c r="A155" s="225"/>
      <c r="B155" s="64" t="s">
        <v>74</v>
      </c>
      <c r="C155" s="58">
        <v>28616.415166666669</v>
      </c>
      <c r="D155" s="58">
        <v>21351.038</v>
      </c>
      <c r="E155" s="58">
        <v>6741.4859999999999</v>
      </c>
    </row>
    <row r="157" spans="1:6" x14ac:dyDescent="0.3">
      <c r="A157" s="225">
        <v>14</v>
      </c>
      <c r="B157" s="225" t="s">
        <v>466</v>
      </c>
      <c r="C157" s="225"/>
      <c r="D157" s="225"/>
      <c r="E157" s="225"/>
      <c r="F157" s="225"/>
    </row>
    <row r="158" spans="1:6" x14ac:dyDescent="0.3">
      <c r="A158" s="225"/>
      <c r="B158" s="65" t="s">
        <v>73</v>
      </c>
      <c r="C158" s="225" t="s">
        <v>467</v>
      </c>
      <c r="D158" s="225" t="s">
        <v>414</v>
      </c>
      <c r="E158" s="225" t="s">
        <v>416</v>
      </c>
    </row>
    <row r="159" spans="1:6" x14ac:dyDescent="0.3">
      <c r="A159" s="225"/>
      <c r="B159" s="64">
        <v>2009</v>
      </c>
      <c r="C159" s="58">
        <v>939.38800000000003</v>
      </c>
      <c r="D159" s="58">
        <v>442.36500000000007</v>
      </c>
      <c r="E159" s="58">
        <v>80.599999999999994</v>
      </c>
      <c r="F159" s="58">
        <f>SUM(C159:E159)</f>
        <v>1462.3530000000001</v>
      </c>
    </row>
    <row r="160" spans="1:6" x14ac:dyDescent="0.3">
      <c r="A160" s="225"/>
      <c r="B160" s="64">
        <v>2010</v>
      </c>
      <c r="C160" s="58">
        <v>982.41816666666682</v>
      </c>
      <c r="D160" s="58">
        <v>423.21500000000003</v>
      </c>
      <c r="E160" s="58">
        <v>129.95699999999999</v>
      </c>
      <c r="F160" s="58">
        <f t="shared" ref="F160:F166" si="15">SUM(C160:E160)</f>
        <v>1535.5901666666668</v>
      </c>
    </row>
    <row r="161" spans="1:9" x14ac:dyDescent="0.3">
      <c r="A161" s="225"/>
      <c r="B161" s="64">
        <v>2011</v>
      </c>
      <c r="C161" s="58">
        <v>1039.2321666666667</v>
      </c>
      <c r="D161" s="58">
        <v>464.55200000000002</v>
      </c>
      <c r="E161" s="58">
        <v>170.596</v>
      </c>
      <c r="F161" s="58">
        <f t="shared" si="15"/>
        <v>1674.3801666666668</v>
      </c>
    </row>
    <row r="162" spans="1:9" x14ac:dyDescent="0.3">
      <c r="A162" s="225"/>
      <c r="B162" s="64">
        <v>2012</v>
      </c>
      <c r="C162" s="58">
        <v>1096.0836666666667</v>
      </c>
      <c r="D162" s="58">
        <v>570.72340000000008</v>
      </c>
      <c r="E162" s="58">
        <v>203.83660000000003</v>
      </c>
      <c r="F162" s="58">
        <f t="shared" si="15"/>
        <v>1870.6436666666668</v>
      </c>
    </row>
    <row r="163" spans="1:9" x14ac:dyDescent="0.3">
      <c r="A163" s="225"/>
      <c r="B163" s="64">
        <v>2013</v>
      </c>
      <c r="C163" s="58">
        <v>1109.0321666666666</v>
      </c>
      <c r="D163" s="58">
        <v>662.05799999999999</v>
      </c>
      <c r="E163" s="58">
        <v>241.05400000000003</v>
      </c>
      <c r="F163" s="58">
        <f t="shared" si="15"/>
        <v>2012.1441666666667</v>
      </c>
    </row>
    <row r="164" spans="1:9" x14ac:dyDescent="0.3">
      <c r="A164" s="225"/>
      <c r="B164" s="64">
        <v>2014</v>
      </c>
      <c r="C164" s="58">
        <v>1095.3683333333331</v>
      </c>
      <c r="D164" s="58">
        <v>742.96799999999996</v>
      </c>
      <c r="E164" s="58">
        <v>296.46799999999996</v>
      </c>
      <c r="F164" s="58">
        <f t="shared" si="15"/>
        <v>2134.804333333333</v>
      </c>
    </row>
    <row r="165" spans="1:9" x14ac:dyDescent="0.3">
      <c r="A165" s="225"/>
      <c r="B165" s="64">
        <v>2015</v>
      </c>
      <c r="C165" s="58">
        <v>1091.0358333333334</v>
      </c>
      <c r="D165" s="58">
        <v>827.70899999999995</v>
      </c>
      <c r="E165" s="58">
        <v>313.50700000000001</v>
      </c>
      <c r="F165" s="58">
        <f t="shared" si="15"/>
        <v>2232.2518333333333</v>
      </c>
    </row>
    <row r="166" spans="1:9" x14ac:dyDescent="0.3">
      <c r="A166" s="225"/>
      <c r="B166" s="64">
        <v>2016</v>
      </c>
      <c r="C166" s="58">
        <v>1012.7768333333335</v>
      </c>
      <c r="D166" s="58">
        <v>765.125</v>
      </c>
      <c r="E166" s="58">
        <v>314.04899999999998</v>
      </c>
      <c r="F166" s="58">
        <f t="shared" si="15"/>
        <v>2091.9508333333333</v>
      </c>
      <c r="G166" s="85">
        <f>+F166/F159</f>
        <v>1.4305375195546719</v>
      </c>
    </row>
    <row r="167" spans="1:9" x14ac:dyDescent="0.3">
      <c r="A167" s="225"/>
      <c r="B167" s="64" t="s">
        <v>74</v>
      </c>
      <c r="C167" s="58">
        <v>8365.3351666666658</v>
      </c>
      <c r="D167" s="58">
        <v>4898.7154</v>
      </c>
      <c r="E167" s="58">
        <v>1750.0676000000003</v>
      </c>
      <c r="F167" s="58"/>
    </row>
    <row r="169" spans="1:9" x14ac:dyDescent="0.3">
      <c r="A169" s="225">
        <v>15</v>
      </c>
      <c r="B169" s="225" t="s">
        <v>418</v>
      </c>
      <c r="C169" s="225"/>
      <c r="D169" s="225"/>
      <c r="E169" s="225"/>
      <c r="F169" s="225"/>
    </row>
    <row r="170" spans="1:9" x14ac:dyDescent="0.3">
      <c r="A170" s="225"/>
      <c r="B170" s="65" t="s">
        <v>73</v>
      </c>
      <c r="C170" s="225" t="s">
        <v>468</v>
      </c>
      <c r="D170" s="225" t="s">
        <v>469</v>
      </c>
      <c r="E170" s="225" t="s">
        <v>470</v>
      </c>
      <c r="F170" s="225" t="s">
        <v>471</v>
      </c>
      <c r="G170" s="225" t="s">
        <v>474</v>
      </c>
      <c r="H170" s="225" t="s">
        <v>268</v>
      </c>
    </row>
    <row r="171" spans="1:9" x14ac:dyDescent="0.3">
      <c r="A171" s="225"/>
      <c r="B171" s="64">
        <v>2009</v>
      </c>
      <c r="C171" s="58">
        <v>14556.56234</v>
      </c>
      <c r="D171" s="58">
        <v>3526.4682065644565</v>
      </c>
      <c r="E171" s="58">
        <v>2456.281254529672</v>
      </c>
      <c r="F171" s="58">
        <v>3140.04</v>
      </c>
      <c r="G171" s="58">
        <v>3235.3589840269256</v>
      </c>
      <c r="H171" s="58">
        <v>26914.710785121053</v>
      </c>
    </row>
    <row r="172" spans="1:9" x14ac:dyDescent="0.3">
      <c r="A172" s="225"/>
      <c r="B172" s="64">
        <v>2010</v>
      </c>
      <c r="C172" s="58">
        <v>14595.117459999999</v>
      </c>
      <c r="D172" s="58">
        <v>3147.6654767155082</v>
      </c>
      <c r="E172" s="58">
        <v>4943.2870348323377</v>
      </c>
      <c r="F172" s="58">
        <v>4216.7280000000001</v>
      </c>
      <c r="G172" s="58">
        <v>3434.3101849834911</v>
      </c>
      <c r="H172" s="58">
        <v>30337.108156531336</v>
      </c>
    </row>
    <row r="173" spans="1:9" x14ac:dyDescent="0.3">
      <c r="A173" s="225"/>
      <c r="B173" s="64">
        <v>2011</v>
      </c>
      <c r="C173" s="58">
        <v>17532.967600000004</v>
      </c>
      <c r="D173" s="58">
        <v>3947.3796775214046</v>
      </c>
      <c r="E173" s="58">
        <v>7993.7169686019397</v>
      </c>
      <c r="F173" s="58">
        <v>6106.777</v>
      </c>
      <c r="G173" s="58">
        <v>3589.5668089676315</v>
      </c>
      <c r="H173" s="58">
        <v>39170.408055090971</v>
      </c>
    </row>
    <row r="174" spans="1:9" x14ac:dyDescent="0.3">
      <c r="A174" s="225"/>
      <c r="B174" s="64">
        <v>2012</v>
      </c>
      <c r="C174" s="58">
        <v>18118.444599999999</v>
      </c>
      <c r="D174" s="58">
        <v>4575.1325095552802</v>
      </c>
      <c r="E174" s="58">
        <v>8326.7931472865712</v>
      </c>
      <c r="F174" s="58">
        <v>6026.4750000000004</v>
      </c>
      <c r="G174" s="58">
        <v>3933.5876710249199</v>
      </c>
      <c r="H174" s="58">
        <v>40980.432927866772</v>
      </c>
    </row>
    <row r="175" spans="1:9" x14ac:dyDescent="0.3">
      <c r="A175" s="225"/>
      <c r="B175" s="64">
        <v>2013</v>
      </c>
      <c r="C175" s="58">
        <v>21533.944520000001</v>
      </c>
      <c r="D175" s="58">
        <v>4461.4890959191753</v>
      </c>
      <c r="E175" s="58">
        <v>6337.3378042984186</v>
      </c>
      <c r="F175" s="58">
        <v>5637.3191999999999</v>
      </c>
      <c r="G175" s="58">
        <v>4158.0123617086174</v>
      </c>
      <c r="H175" s="58">
        <v>42128.102981926204</v>
      </c>
    </row>
    <row r="176" spans="1:9" x14ac:dyDescent="0.3">
      <c r="A176" s="225"/>
      <c r="B176" s="64">
        <v>2014</v>
      </c>
      <c r="C176" s="58">
        <v>24246.827160000001</v>
      </c>
      <c r="D176" s="58">
        <v>4326.5064766782871</v>
      </c>
      <c r="E176" s="58">
        <v>6569.4139334534821</v>
      </c>
      <c r="F176" s="58">
        <v>5111.9273599999997</v>
      </c>
      <c r="G176" s="58">
        <v>4045.1796285297942</v>
      </c>
      <c r="H176" s="58">
        <v>44299.854558661551</v>
      </c>
      <c r="I176" s="85">
        <f>+H176/H175-1</f>
        <v>5.1551136249051499E-2</v>
      </c>
    </row>
    <row r="177" spans="1:9" x14ac:dyDescent="0.3">
      <c r="A177" s="225"/>
      <c r="B177" s="64">
        <v>2015</v>
      </c>
      <c r="C177" s="58">
        <v>22374.379840000001</v>
      </c>
      <c r="D177" s="58">
        <v>4500.9784472566153</v>
      </c>
      <c r="E177" s="58">
        <v>1058.6711860834091</v>
      </c>
      <c r="F177" s="58">
        <v>2681.6412</v>
      </c>
      <c r="G177" s="58">
        <v>4177.9179420104647</v>
      </c>
      <c r="H177" s="58">
        <v>34793.588615350491</v>
      </c>
      <c r="I177" s="85">
        <f>+H177/H176-1</f>
        <v>-0.21458910052905322</v>
      </c>
    </row>
    <row r="178" spans="1:9" x14ac:dyDescent="0.3">
      <c r="A178" s="225"/>
      <c r="B178" s="64">
        <v>2016</v>
      </c>
      <c r="C178" s="58">
        <v>18639.130080000003</v>
      </c>
      <c r="D178" s="58">
        <v>4202.9019908319178</v>
      </c>
      <c r="E178" s="58">
        <v>-655.84982915897353</v>
      </c>
      <c r="F178" s="58">
        <v>2103.0424000000003</v>
      </c>
      <c r="G178" s="58">
        <v>4111.1686914547681</v>
      </c>
      <c r="H178" s="58">
        <v>28400.393333127711</v>
      </c>
      <c r="I178" s="85">
        <f>+H178/H177-1</f>
        <v>-0.18374636065571526</v>
      </c>
    </row>
    <row r="179" spans="1:9" x14ac:dyDescent="0.3">
      <c r="A179" s="225"/>
      <c r="B179" s="64" t="s">
        <v>74</v>
      </c>
      <c r="C179" s="58">
        <v>151597.37360000002</v>
      </c>
      <c r="D179" s="58">
        <v>32688.521881042645</v>
      </c>
      <c r="E179" s="58">
        <v>37029.651499926862</v>
      </c>
      <c r="F179" s="58">
        <v>35023.95016</v>
      </c>
      <c r="G179" s="58">
        <v>30685.102272706608</v>
      </c>
      <c r="H179" s="58">
        <v>287024.59941367607</v>
      </c>
    </row>
    <row r="181" spans="1:9" x14ac:dyDescent="0.3">
      <c r="A181">
        <v>16</v>
      </c>
      <c r="B181" t="s">
        <v>485</v>
      </c>
    </row>
    <row r="182" spans="1:9" x14ac:dyDescent="0.3">
      <c r="B182" s="65" t="s">
        <v>73</v>
      </c>
      <c r="C182" s="225" t="s">
        <v>486</v>
      </c>
      <c r="D182" s="225" t="s">
        <v>487</v>
      </c>
    </row>
    <row r="183" spans="1:9" x14ac:dyDescent="0.3">
      <c r="B183" s="64">
        <v>2009</v>
      </c>
      <c r="C183" s="58">
        <v>1462.3530000000001</v>
      </c>
      <c r="D183" s="58">
        <v>2747.7551666666664</v>
      </c>
    </row>
    <row r="184" spans="1:9" x14ac:dyDescent="0.3">
      <c r="B184" s="64">
        <v>2010</v>
      </c>
      <c r="C184" s="58">
        <v>1535.5901666666671</v>
      </c>
      <c r="D184" s="58">
        <v>4657.8591666666662</v>
      </c>
    </row>
    <row r="185" spans="1:9" x14ac:dyDescent="0.3">
      <c r="B185" s="64">
        <v>2011</v>
      </c>
      <c r="C185" s="58">
        <v>1674.3801666666666</v>
      </c>
      <c r="D185" s="58">
        <v>4177.8206666666665</v>
      </c>
    </row>
    <row r="186" spans="1:9" x14ac:dyDescent="0.3">
      <c r="B186" s="64">
        <v>2012</v>
      </c>
      <c r="C186" s="58">
        <v>1870.6436666666664</v>
      </c>
      <c r="D186" s="58">
        <v>2136.529833333333</v>
      </c>
    </row>
    <row r="187" spans="1:9" x14ac:dyDescent="0.3">
      <c r="B187" s="64">
        <v>2013</v>
      </c>
      <c r="C187" s="58">
        <v>2012.1441666666669</v>
      </c>
      <c r="D187" s="58">
        <v>5277.4261666666671</v>
      </c>
    </row>
    <row r="188" spans="1:9" x14ac:dyDescent="0.3">
      <c r="B188" s="64">
        <v>2014</v>
      </c>
      <c r="C188" s="58">
        <v>2134.8043333333335</v>
      </c>
      <c r="D188" s="58">
        <v>6298.257333333333</v>
      </c>
    </row>
    <row r="189" spans="1:9" x14ac:dyDescent="0.3">
      <c r="B189" s="64">
        <v>2015</v>
      </c>
      <c r="C189" s="58">
        <v>2232.2518333333337</v>
      </c>
      <c r="D189" s="58">
        <v>-2616.8450000000003</v>
      </c>
    </row>
    <row r="190" spans="1:9" x14ac:dyDescent="0.3">
      <c r="B190" s="64">
        <v>2016</v>
      </c>
      <c r="C190" s="58">
        <v>2091.9508333333333</v>
      </c>
      <c r="D190" s="58">
        <v>3121.9546666666665</v>
      </c>
    </row>
    <row r="191" spans="1:9" x14ac:dyDescent="0.3">
      <c r="B191" s="64" t="s">
        <v>74</v>
      </c>
      <c r="C191" s="58">
        <v>15014.118166666667</v>
      </c>
      <c r="D191" s="58">
        <v>25800.757999999994</v>
      </c>
    </row>
  </sheetData>
  <pageMargins left="0.7" right="0.7" top="0.75" bottom="0.75" header="0.3" footer="0.3"/>
  <pageSetup orientation="portrait" r:id="rId17"/>
  <drawing r:id="rId18"/>
  <extLst>
    <ext xmlns:x14="http://schemas.microsoft.com/office/spreadsheetml/2009/9/main" uri="{A8765BA9-456A-4dab-B4F3-ACF838C121DE}">
      <x14:slicerList>
        <x14:slicer r:id="rId19"/>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topLeftCell="A7" zoomScaleNormal="100" workbookViewId="0">
      <selection activeCell="J23" sqref="J23"/>
    </sheetView>
  </sheetViews>
  <sheetFormatPr defaultColWidth="9.109375" defaultRowHeight="14.4" x14ac:dyDescent="0.3"/>
  <cols>
    <col min="1" max="1" width="7.33203125" style="346" customWidth="1"/>
    <col min="2" max="10" width="9.109375" style="346"/>
    <col min="11" max="11" width="7.33203125" style="346" customWidth="1"/>
    <col min="12" max="20" width="9.109375" style="346"/>
    <col min="21" max="21" width="7.33203125" style="346" customWidth="1"/>
    <col min="22" max="16384" width="9.109375" style="346"/>
  </cols>
  <sheetData>
    <row r="1" spans="3:40" x14ac:dyDescent="0.3">
      <c r="K1" s="346">
        <v>1</v>
      </c>
      <c r="U1" s="346">
        <v>2</v>
      </c>
      <c r="AN1" s="346" t="s">
        <v>423</v>
      </c>
    </row>
    <row r="14" spans="3:40" x14ac:dyDescent="0.3">
      <c r="C14" s="349"/>
      <c r="D14" s="349"/>
      <c r="H14" s="349"/>
      <c r="I14" s="349"/>
      <c r="M14" s="349"/>
      <c r="N14" s="349"/>
    </row>
    <row r="15" spans="3:40" x14ac:dyDescent="0.3">
      <c r="C15" s="349"/>
      <c r="D15" s="349"/>
      <c r="H15" s="349"/>
      <c r="I15" s="349"/>
      <c r="M15" s="349"/>
      <c r="N15" s="349"/>
    </row>
    <row r="16" spans="3:40" x14ac:dyDescent="0.3">
      <c r="C16" s="349"/>
      <c r="D16" s="349"/>
      <c r="H16" s="349"/>
      <c r="I16" s="349"/>
      <c r="M16" s="349"/>
      <c r="N16" s="349"/>
    </row>
    <row r="17" spans="1:21" x14ac:dyDescent="0.3">
      <c r="C17" s="349"/>
      <c r="D17" s="349"/>
      <c r="H17" s="349"/>
      <c r="I17" s="349"/>
      <c r="M17" s="349"/>
      <c r="N17" s="349"/>
    </row>
    <row r="18" spans="1:21" x14ac:dyDescent="0.3">
      <c r="C18" s="349"/>
      <c r="D18" s="349"/>
      <c r="H18" s="349"/>
      <c r="I18" s="349"/>
      <c r="M18" s="349"/>
      <c r="N18" s="349"/>
    </row>
    <row r="19" spans="1:21" x14ac:dyDescent="0.3">
      <c r="A19" s="346">
        <v>3</v>
      </c>
      <c r="C19" s="349"/>
      <c r="D19" s="349"/>
      <c r="H19" s="349"/>
      <c r="I19" s="349"/>
      <c r="K19" s="346">
        <v>4</v>
      </c>
      <c r="M19" s="349"/>
      <c r="N19" s="349"/>
      <c r="U19" s="346">
        <v>5</v>
      </c>
    </row>
    <row r="20" spans="1:21" x14ac:dyDescent="0.3">
      <c r="C20" s="349"/>
      <c r="D20" s="349"/>
      <c r="H20" s="349"/>
      <c r="I20" s="349"/>
      <c r="M20" s="349"/>
      <c r="N20" s="349"/>
    </row>
    <row r="21" spans="1:21" x14ac:dyDescent="0.3">
      <c r="C21" s="349"/>
      <c r="D21" s="349"/>
      <c r="H21" s="349"/>
      <c r="I21" s="349"/>
      <c r="M21" s="349"/>
      <c r="N21" s="349"/>
    </row>
    <row r="22" spans="1:21" x14ac:dyDescent="0.3">
      <c r="C22" s="349"/>
      <c r="D22" s="349"/>
      <c r="H22" s="349"/>
      <c r="I22" s="349"/>
      <c r="M22" s="349"/>
      <c r="N22" s="349"/>
    </row>
    <row r="23" spans="1:21" x14ac:dyDescent="0.3">
      <c r="C23" s="349"/>
      <c r="D23" s="349"/>
      <c r="H23" s="349"/>
      <c r="I23" s="349"/>
      <c r="M23" s="349"/>
      <c r="N23" s="349"/>
    </row>
    <row r="24" spans="1:21" x14ac:dyDescent="0.3">
      <c r="C24" s="349"/>
      <c r="D24" s="349"/>
      <c r="H24" s="349"/>
      <c r="I24" s="349"/>
      <c r="M24" s="349"/>
      <c r="N24" s="349"/>
    </row>
    <row r="25" spans="1:21" x14ac:dyDescent="0.3">
      <c r="C25" s="349"/>
      <c r="D25" s="349"/>
      <c r="H25" s="349"/>
      <c r="I25" s="349"/>
      <c r="M25" s="349"/>
      <c r="N25" s="349"/>
    </row>
    <row r="26" spans="1:21" x14ac:dyDescent="0.3">
      <c r="C26" s="349"/>
      <c r="D26" s="349"/>
      <c r="H26" s="349"/>
      <c r="I26" s="349"/>
      <c r="M26" s="349"/>
      <c r="N26" s="349"/>
    </row>
    <row r="27" spans="1:21" x14ac:dyDescent="0.3">
      <c r="C27" s="349"/>
      <c r="D27" s="349"/>
      <c r="H27" s="349"/>
      <c r="I27" s="349"/>
      <c r="M27" s="349"/>
      <c r="N27" s="349"/>
    </row>
    <row r="28" spans="1:21" x14ac:dyDescent="0.3">
      <c r="C28" s="349"/>
      <c r="D28" s="349"/>
      <c r="H28" s="349"/>
      <c r="I28" s="349"/>
      <c r="M28" s="349"/>
      <c r="N28" s="349"/>
    </row>
    <row r="29" spans="1:21" x14ac:dyDescent="0.3">
      <c r="C29" s="349"/>
      <c r="D29" s="349"/>
      <c r="H29" s="349"/>
      <c r="I29" s="349"/>
      <c r="M29" s="349"/>
      <c r="N29" s="349"/>
    </row>
    <row r="30" spans="1:21" x14ac:dyDescent="0.3">
      <c r="C30" s="349"/>
      <c r="D30" s="349"/>
      <c r="H30" s="349"/>
      <c r="I30" s="349"/>
      <c r="M30" s="349"/>
      <c r="N30" s="349"/>
    </row>
    <row r="31" spans="1:21" x14ac:dyDescent="0.3">
      <c r="C31" s="349"/>
      <c r="D31" s="349"/>
      <c r="H31" s="349"/>
      <c r="I31" s="349"/>
      <c r="M31" s="349"/>
      <c r="N31" s="349"/>
    </row>
    <row r="32" spans="1:21" x14ac:dyDescent="0.3">
      <c r="C32" s="349"/>
      <c r="D32" s="349"/>
      <c r="H32" s="349"/>
      <c r="I32" s="349"/>
      <c r="M32" s="349"/>
      <c r="N32" s="349"/>
    </row>
    <row r="33" spans="1:21" x14ac:dyDescent="0.3">
      <c r="C33" s="349"/>
      <c r="D33" s="349"/>
      <c r="H33" s="349"/>
      <c r="I33" s="349"/>
      <c r="M33" s="349"/>
      <c r="N33" s="349"/>
    </row>
    <row r="37" spans="1:21" x14ac:dyDescent="0.3">
      <c r="A37" s="346">
        <v>6</v>
      </c>
      <c r="K37" s="346">
        <v>7</v>
      </c>
      <c r="U37" s="346">
        <v>8</v>
      </c>
    </row>
    <row r="54" spans="1:21" x14ac:dyDescent="0.3">
      <c r="A54" s="346">
        <v>9</v>
      </c>
      <c r="K54" s="346">
        <v>10</v>
      </c>
      <c r="U54" s="346">
        <v>11</v>
      </c>
    </row>
    <row r="71" spans="1:21" x14ac:dyDescent="0.3">
      <c r="A71" s="346">
        <v>12</v>
      </c>
      <c r="K71" s="346">
        <v>13</v>
      </c>
      <c r="U71" s="346">
        <v>14</v>
      </c>
    </row>
    <row r="88" spans="1:1" x14ac:dyDescent="0.3">
      <c r="A88" s="346">
        <v>15</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topLeftCell="A31" zoomScaleNormal="100" workbookViewId="0">
      <selection activeCell="L65" sqref="L65"/>
    </sheetView>
  </sheetViews>
  <sheetFormatPr defaultRowHeight="14.4" x14ac:dyDescent="0.3"/>
  <cols>
    <col min="1" max="1" width="13.109375" customWidth="1"/>
    <col min="2" max="2" width="18.88671875" style="225" customWidth="1"/>
    <col min="3" max="5" width="18.88671875" style="225" bestFit="1" customWidth="1"/>
    <col min="6" max="7" width="18.109375" style="225" customWidth="1"/>
    <col min="8" max="9" width="18.109375" style="225" bestFit="1" customWidth="1"/>
    <col min="10" max="10" width="19.33203125" style="225" bestFit="1" customWidth="1"/>
    <col min="11" max="12" width="19.33203125" style="225" customWidth="1"/>
    <col min="13" max="13" width="19.33203125" bestFit="1" customWidth="1"/>
    <col min="14" max="14" width="32.109375" customWidth="1"/>
    <col min="15" max="15" width="20.5546875" customWidth="1"/>
    <col min="16" max="16" width="31.44140625" customWidth="1"/>
    <col min="17" max="17" width="21.6640625" customWidth="1"/>
    <col min="18" max="18" width="33.44140625" customWidth="1"/>
    <col min="19" max="19" width="21.88671875" customWidth="1"/>
    <col min="20" max="27" width="9" customWidth="1"/>
  </cols>
  <sheetData>
    <row r="1" spans="1:23" x14ac:dyDescent="0.3">
      <c r="A1" s="65" t="s">
        <v>4</v>
      </c>
      <c r="B1" s="225" t="s">
        <v>307</v>
      </c>
    </row>
    <row r="2" spans="1:23" x14ac:dyDescent="0.3">
      <c r="B2"/>
    </row>
    <row r="3" spans="1:23" x14ac:dyDescent="0.3">
      <c r="A3" s="65" t="s">
        <v>73</v>
      </c>
      <c r="B3" s="225" t="s">
        <v>395</v>
      </c>
      <c r="C3" s="225" t="s">
        <v>396</v>
      </c>
      <c r="D3" s="225" t="s">
        <v>397</v>
      </c>
      <c r="E3" s="225" t="s">
        <v>398</v>
      </c>
      <c r="F3" s="225" t="s">
        <v>399</v>
      </c>
      <c r="G3" s="225" t="s">
        <v>400</v>
      </c>
      <c r="H3" s="225" t="s">
        <v>401</v>
      </c>
      <c r="I3" s="225" t="s">
        <v>402</v>
      </c>
      <c r="J3" s="225" t="s">
        <v>403</v>
      </c>
      <c r="K3" s="225" t="s">
        <v>404</v>
      </c>
      <c r="L3" s="225" t="s">
        <v>405</v>
      </c>
      <c r="M3" s="225" t="s">
        <v>406</v>
      </c>
      <c r="N3" s="225" t="s">
        <v>449</v>
      </c>
      <c r="O3" s="225" t="s">
        <v>448</v>
      </c>
      <c r="P3" s="225" t="s">
        <v>450</v>
      </c>
      <c r="Q3" s="225" t="s">
        <v>447</v>
      </c>
      <c r="R3" s="225" t="s">
        <v>451</v>
      </c>
      <c r="S3" s="225" t="s">
        <v>452</v>
      </c>
    </row>
    <row r="4" spans="1:23" x14ac:dyDescent="0.3">
      <c r="A4" s="64">
        <v>2012</v>
      </c>
      <c r="B4" s="59">
        <v>3.0668873153550473</v>
      </c>
      <c r="C4" s="59">
        <v>2.6587676770111806</v>
      </c>
      <c r="D4" s="59">
        <v>3.0202496032475654</v>
      </c>
      <c r="E4" s="59">
        <v>3.518207033772951</v>
      </c>
      <c r="F4" s="59">
        <v>97.463433091972931</v>
      </c>
      <c r="G4" s="59">
        <v>90.618144352601206</v>
      </c>
      <c r="H4" s="59">
        <v>90.548305263200263</v>
      </c>
      <c r="I4" s="59">
        <v>97.992322873868346</v>
      </c>
      <c r="J4" s="59">
        <v>40.343746342181205</v>
      </c>
      <c r="K4" s="59">
        <v>33.02063765977551</v>
      </c>
      <c r="L4" s="59">
        <v>30.736570994299537</v>
      </c>
      <c r="M4" s="59">
        <v>30.291195639913997</v>
      </c>
      <c r="N4" s="59">
        <v>3.087935381976596</v>
      </c>
      <c r="O4" s="59">
        <v>2.75</v>
      </c>
      <c r="P4" s="59">
        <v>94.280963664462945</v>
      </c>
      <c r="Q4" s="59">
        <v>94.049999999999983</v>
      </c>
      <c r="R4" s="59">
        <v>33.423044155108968</v>
      </c>
      <c r="S4" s="59">
        <v>10.980000000000002</v>
      </c>
    </row>
    <row r="5" spans="1:23" x14ac:dyDescent="0.3">
      <c r="A5" s="64">
        <v>2013</v>
      </c>
      <c r="B5" s="59">
        <v>3.1943633401566749</v>
      </c>
      <c r="C5" s="59">
        <v>3.40109794698254</v>
      </c>
      <c r="D5" s="59">
        <v>3.1564381981715375</v>
      </c>
      <c r="E5" s="59">
        <v>3.1065909003596723</v>
      </c>
      <c r="F5" s="59">
        <v>93.497538859106299</v>
      </c>
      <c r="G5" s="59">
        <v>94.205658185873318</v>
      </c>
      <c r="H5" s="59">
        <v>99.351487960998611</v>
      </c>
      <c r="I5" s="59">
        <v>92.443098166660917</v>
      </c>
      <c r="J5" s="59">
        <v>29.562430564492338</v>
      </c>
      <c r="K5" s="59">
        <v>27.658811504592489</v>
      </c>
      <c r="L5" s="59">
        <v>29.662225780500094</v>
      </c>
      <c r="M5" s="59">
        <v>31.633785438690982</v>
      </c>
      <c r="N5" s="59">
        <v>3.2187895321448332</v>
      </c>
      <c r="O5" s="59">
        <v>3.73</v>
      </c>
      <c r="P5" s="59">
        <v>94.878959340129668</v>
      </c>
      <c r="Q5" s="59">
        <v>97.98</v>
      </c>
      <c r="R5" s="59">
        <v>29.696027202387146</v>
      </c>
      <c r="S5" s="59">
        <v>9.94</v>
      </c>
    </row>
    <row r="6" spans="1:23" x14ac:dyDescent="0.3">
      <c r="A6" s="64">
        <v>2014</v>
      </c>
      <c r="B6" s="59">
        <v>4.0663398367713723</v>
      </c>
      <c r="C6" s="59">
        <v>3.6078111268960278</v>
      </c>
      <c r="D6" s="59">
        <v>3.1614039752446934</v>
      </c>
      <c r="E6" s="59">
        <v>3.2521469704798278</v>
      </c>
      <c r="F6" s="59">
        <v>90.628871315772528</v>
      </c>
      <c r="G6" s="59">
        <v>92.915578267458542</v>
      </c>
      <c r="H6" s="59">
        <v>88.386980562009455</v>
      </c>
      <c r="I6" s="59">
        <v>72.565299196538632</v>
      </c>
      <c r="J6" s="59">
        <v>32.213331323512982</v>
      </c>
      <c r="K6" s="59">
        <v>27.003945797539327</v>
      </c>
      <c r="L6" s="59">
        <v>26.731755145254336</v>
      </c>
      <c r="M6" s="59">
        <v>26.583586983054811</v>
      </c>
      <c r="N6" s="59">
        <v>3.4681530296760199</v>
      </c>
      <c r="O6" s="59">
        <v>4.37</v>
      </c>
      <c r="P6" s="59">
        <v>85.669548659038341</v>
      </c>
      <c r="Q6" s="59">
        <v>93.169999999999987</v>
      </c>
      <c r="R6" s="59">
        <v>27.982300218406341</v>
      </c>
      <c r="S6" s="59">
        <v>9.56</v>
      </c>
    </row>
    <row r="7" spans="1:23" x14ac:dyDescent="0.3">
      <c r="A7" s="64">
        <v>2015</v>
      </c>
      <c r="B7" s="59">
        <v>3.0005861609790805</v>
      </c>
      <c r="C7" s="59">
        <v>2.2112254318040283</v>
      </c>
      <c r="D7" s="59">
        <v>1.9892035272951427</v>
      </c>
      <c r="E7" s="59">
        <v>2.8265175038171244</v>
      </c>
      <c r="F7" s="59">
        <v>48.510853219466114</v>
      </c>
      <c r="G7" s="59">
        <v>57.877731232547312</v>
      </c>
      <c r="H7" s="59">
        <v>48.810384477868723</v>
      </c>
      <c r="I7" s="59">
        <v>45.515293368111585</v>
      </c>
      <c r="J7" s="59">
        <v>12.297435836257215</v>
      </c>
      <c r="K7" s="59">
        <v>11.610082327210607</v>
      </c>
      <c r="L7" s="59">
        <v>7.9572258210428712</v>
      </c>
      <c r="M7" s="59">
        <v>13.484450119400435</v>
      </c>
      <c r="N7" s="59">
        <v>2.4935826329440287</v>
      </c>
      <c r="O7" s="59">
        <v>2.6200000000000006</v>
      </c>
      <c r="P7" s="59">
        <v>50.26574981363779</v>
      </c>
      <c r="Q7" s="59">
        <v>48.66</v>
      </c>
      <c r="R7" s="59">
        <v>11.340156893199941</v>
      </c>
      <c r="S7" s="59">
        <v>4.97</v>
      </c>
    </row>
    <row r="8" spans="1:23" x14ac:dyDescent="0.3">
      <c r="A8" s="64">
        <v>2016</v>
      </c>
      <c r="B8" s="59">
        <v>1.8578671650992811</v>
      </c>
      <c r="C8" s="59">
        <v>1.710035930247795</v>
      </c>
      <c r="D8" s="59">
        <v>2.1348274712028719</v>
      </c>
      <c r="E8" s="59">
        <v>2.4606922088817105</v>
      </c>
      <c r="F8" s="59">
        <v>28.379749114795263</v>
      </c>
      <c r="G8" s="59">
        <v>39.743230988913268</v>
      </c>
      <c r="H8" s="59">
        <v>41.11858687299808</v>
      </c>
      <c r="I8" s="59">
        <v>45.59657315969104</v>
      </c>
      <c r="J8" s="59">
        <v>8.2482407844204904</v>
      </c>
      <c r="K8" s="59">
        <v>11.427848846472918</v>
      </c>
      <c r="L8" s="59">
        <v>11.587559993990485</v>
      </c>
      <c r="M8" s="59">
        <v>16.350805618519722</v>
      </c>
      <c r="N8" s="59">
        <v>2.0193289746362364</v>
      </c>
      <c r="O8" s="59">
        <v>2.52</v>
      </c>
      <c r="P8" s="59">
        <v>38.193015429726422</v>
      </c>
      <c r="Q8" s="59">
        <v>43.199999999999996</v>
      </c>
      <c r="R8" s="59">
        <v>11.741856447070173</v>
      </c>
      <c r="S8" s="59">
        <v>5.04</v>
      </c>
    </row>
    <row r="9" spans="1:23" x14ac:dyDescent="0.3">
      <c r="A9" s="64" t="s">
        <v>74</v>
      </c>
      <c r="B9" s="59">
        <v>3.0104079238408858</v>
      </c>
      <c r="C9" s="59">
        <v>2.7252258317360041</v>
      </c>
      <c r="D9" s="59">
        <v>2.6858026108185551</v>
      </c>
      <c r="E9" s="59">
        <v>3.0433203209975002</v>
      </c>
      <c r="F9" s="59">
        <v>68.415198963804713</v>
      </c>
      <c r="G9" s="59">
        <v>73.603833731159355</v>
      </c>
      <c r="H9" s="59">
        <v>72.528143900367098</v>
      </c>
      <c r="I9" s="59">
        <v>70.41958876042932</v>
      </c>
      <c r="J9" s="59">
        <v>22.236330610013407</v>
      </c>
      <c r="K9" s="59">
        <v>20.438591611145878</v>
      </c>
      <c r="L9" s="59">
        <v>19.971478208001841</v>
      </c>
      <c r="M9" s="59">
        <v>22.935554668861755</v>
      </c>
      <c r="N9" s="59">
        <v>2.8524119334207247</v>
      </c>
      <c r="O9" s="59">
        <v>3.1980000000000026</v>
      </c>
      <c r="P9" s="59">
        <v>71.243258086344383</v>
      </c>
      <c r="Q9" s="59">
        <v>75.411999999999949</v>
      </c>
      <c r="R9" s="59">
        <v>21.397955648245539</v>
      </c>
      <c r="S9" s="59">
        <v>8.0980000000000096</v>
      </c>
    </row>
    <row r="10" spans="1:23" x14ac:dyDescent="0.3">
      <c r="B10"/>
      <c r="C10"/>
      <c r="D10"/>
      <c r="E10"/>
      <c r="F10"/>
      <c r="G10"/>
      <c r="H10"/>
      <c r="I10"/>
      <c r="J10"/>
      <c r="K10"/>
      <c r="L10"/>
    </row>
    <row r="11" spans="1:23" x14ac:dyDescent="0.3">
      <c r="B11"/>
      <c r="C11"/>
      <c r="D11"/>
      <c r="E11"/>
      <c r="F11"/>
      <c r="G11"/>
      <c r="H11"/>
      <c r="I11"/>
      <c r="J11"/>
      <c r="K11"/>
      <c r="L11"/>
    </row>
    <row r="12" spans="1:23" x14ac:dyDescent="0.3">
      <c r="B12"/>
      <c r="R12" t="s">
        <v>270</v>
      </c>
      <c r="T12" t="s">
        <v>269</v>
      </c>
      <c r="V12" t="s">
        <v>454</v>
      </c>
    </row>
    <row r="13" spans="1:23" x14ac:dyDescent="0.3">
      <c r="A13" s="225"/>
      <c r="C13" s="225" t="s">
        <v>407</v>
      </c>
      <c r="D13" s="225" t="s">
        <v>408</v>
      </c>
      <c r="E13" s="225" t="s">
        <v>446</v>
      </c>
      <c r="F13"/>
      <c r="G13"/>
      <c r="H13" t="s">
        <v>305</v>
      </c>
      <c r="I13" t="s">
        <v>306</v>
      </c>
      <c r="J13"/>
      <c r="M13" s="225" t="s">
        <v>409</v>
      </c>
      <c r="N13" s="225" t="s">
        <v>410</v>
      </c>
      <c r="Q13" s="74"/>
      <c r="R13" s="85" t="s">
        <v>453</v>
      </c>
      <c r="T13" t="s">
        <v>455</v>
      </c>
      <c r="V13" t="s">
        <v>456</v>
      </c>
    </row>
    <row r="14" spans="1:23" x14ac:dyDescent="0.3">
      <c r="A14" s="225">
        <v>2012</v>
      </c>
      <c r="B14" s="225">
        <v>1</v>
      </c>
      <c r="C14" s="86">
        <f>+B4</f>
        <v>3.0668873153550473</v>
      </c>
      <c r="D14" s="347">
        <v>2.41</v>
      </c>
      <c r="E14" s="86">
        <f>+C14-D14</f>
        <v>0.65688731535504719</v>
      </c>
      <c r="F14">
        <v>2012</v>
      </c>
      <c r="G14">
        <v>1</v>
      </c>
      <c r="H14" s="86">
        <f>+F4</f>
        <v>97.463433091972931</v>
      </c>
      <c r="I14" s="347">
        <v>102.98</v>
      </c>
      <c r="J14" s="86">
        <f>+H14-I14</f>
        <v>-5.5165669080270732</v>
      </c>
      <c r="K14" s="225">
        <v>2012</v>
      </c>
      <c r="L14" s="225">
        <v>1</v>
      </c>
      <c r="M14" s="86">
        <f>+J4</f>
        <v>40.343746342181205</v>
      </c>
      <c r="N14" s="347">
        <v>78.84</v>
      </c>
      <c r="O14" s="86">
        <f>+M14-N14</f>
        <v>-38.496253657818798</v>
      </c>
      <c r="Q14" s="74"/>
      <c r="R14" s="85">
        <f>+N4/O4</f>
        <v>1.1228855934460349</v>
      </c>
      <c r="S14" s="59">
        <f>+N4-O4</f>
        <v>0.33793538197659601</v>
      </c>
      <c r="T14" s="85">
        <f>+P4/Q4</f>
        <v>1.0024557540081123</v>
      </c>
      <c r="U14" s="59">
        <f>+P4-Q4</f>
        <v>0.23096366446296202</v>
      </c>
      <c r="V14" s="85">
        <f>+R4/S4/6</f>
        <v>0.50733218207512087</v>
      </c>
      <c r="W14" s="59">
        <f>+R4/6-S4</f>
        <v>-5.4094926408151744</v>
      </c>
    </row>
    <row r="15" spans="1:23" x14ac:dyDescent="0.3">
      <c r="A15" s="225"/>
      <c r="B15" s="225">
        <v>2</v>
      </c>
      <c r="C15" s="86">
        <f>+C4</f>
        <v>2.6587676770111806</v>
      </c>
      <c r="D15" s="347">
        <v>2.2799999999999998</v>
      </c>
      <c r="E15" s="86">
        <f t="shared" ref="E15:E33" si="0">+C15-D15</f>
        <v>0.37876767701118075</v>
      </c>
      <c r="F15"/>
      <c r="G15">
        <v>2</v>
      </c>
      <c r="H15" s="86">
        <f>+G4</f>
        <v>90.618144352601206</v>
      </c>
      <c r="I15" s="347">
        <v>93.29</v>
      </c>
      <c r="J15" s="86">
        <f t="shared" ref="J15:J33" si="1">+H15-I15</f>
        <v>-2.6718556473988002</v>
      </c>
      <c r="L15" s="225">
        <v>2</v>
      </c>
      <c r="M15" s="86">
        <f>+K4</f>
        <v>33.02063765977551</v>
      </c>
      <c r="N15" s="347">
        <v>64.5</v>
      </c>
      <c r="O15" s="86">
        <f t="shared" ref="O15:O33" si="2">+M15-N15</f>
        <v>-31.47936234022449</v>
      </c>
      <c r="Q15" s="74"/>
      <c r="R15" s="85">
        <f t="shared" ref="R15:T19" si="3">+N5/O5</f>
        <v>0.86294625526671132</v>
      </c>
      <c r="S15" s="59">
        <f t="shared" ref="S15:U19" si="4">+N5-O5</f>
        <v>-0.51121046785516677</v>
      </c>
      <c r="T15" s="85">
        <f t="shared" si="3"/>
        <v>0.96835026883169695</v>
      </c>
      <c r="U15" s="59">
        <f t="shared" si="4"/>
        <v>-3.1010406598703355</v>
      </c>
      <c r="V15" s="85">
        <f t="shared" ref="V15:V19" si="5">+R5/S5/6</f>
        <v>0.49792131459401651</v>
      </c>
      <c r="W15" s="59">
        <f t="shared" ref="W15:W19" si="6">+R5/6-S5</f>
        <v>-4.9906621329354754</v>
      </c>
    </row>
    <row r="16" spans="1:23" x14ac:dyDescent="0.3">
      <c r="A16" s="225"/>
      <c r="B16" s="225">
        <v>3</v>
      </c>
      <c r="C16" s="86">
        <f>+D4</f>
        <v>3.0202496032475654</v>
      </c>
      <c r="D16" s="347">
        <v>2.88</v>
      </c>
      <c r="E16" s="86">
        <f t="shared" si="0"/>
        <v>0.14024960324756552</v>
      </c>
      <c r="F16"/>
      <c r="G16">
        <v>3</v>
      </c>
      <c r="H16" s="86">
        <f>+H4</f>
        <v>90.548305263200263</v>
      </c>
      <c r="I16" s="347">
        <v>92.17</v>
      </c>
      <c r="J16" s="86">
        <f t="shared" si="1"/>
        <v>-1.6216947367997392</v>
      </c>
      <c r="L16" s="225">
        <v>3</v>
      </c>
      <c r="M16" s="86">
        <f>+L4</f>
        <v>30.736570994299537</v>
      </c>
      <c r="N16" s="347">
        <v>59.760000000000005</v>
      </c>
      <c r="O16" s="86">
        <f t="shared" si="2"/>
        <v>-29.023429005700468</v>
      </c>
      <c r="Q16" s="74"/>
      <c r="R16" s="85">
        <f t="shared" si="3"/>
        <v>0.79362769557803658</v>
      </c>
      <c r="S16" s="59">
        <f t="shared" si="4"/>
        <v>-0.9018469703239802</v>
      </c>
      <c r="T16" s="85">
        <f t="shared" si="3"/>
        <v>0.9194971413441918</v>
      </c>
      <c r="U16" s="59">
        <f t="shared" si="4"/>
        <v>-7.5004513409616465</v>
      </c>
      <c r="V16" s="85">
        <f t="shared" si="5"/>
        <v>0.48783647521628909</v>
      </c>
      <c r="W16" s="59">
        <f t="shared" si="6"/>
        <v>-4.8962832969322774</v>
      </c>
    </row>
    <row r="17" spans="1:23" x14ac:dyDescent="0.3">
      <c r="A17" s="225"/>
      <c r="B17" s="225">
        <v>4</v>
      </c>
      <c r="C17" s="86">
        <f>+E4</f>
        <v>3.518207033772951</v>
      </c>
      <c r="D17" s="347">
        <v>3.4</v>
      </c>
      <c r="E17" s="86">
        <f t="shared" si="0"/>
        <v>0.11820703377295105</v>
      </c>
      <c r="F17"/>
      <c r="G17">
        <v>4</v>
      </c>
      <c r="H17" s="86">
        <f>+I4</f>
        <v>97.992322873868346</v>
      </c>
      <c r="I17" s="347">
        <v>88.01</v>
      </c>
      <c r="J17" s="86">
        <f t="shared" si="1"/>
        <v>9.9823228738683412</v>
      </c>
      <c r="L17" s="225">
        <v>4</v>
      </c>
      <c r="M17" s="86">
        <f>+M4</f>
        <v>30.291195639913997</v>
      </c>
      <c r="N17" s="347">
        <v>60.480000000000004</v>
      </c>
      <c r="O17" s="86">
        <f t="shared" si="2"/>
        <v>-30.188804360086007</v>
      </c>
      <c r="Q17" s="74"/>
      <c r="R17" s="85">
        <f t="shared" si="3"/>
        <v>0.95174909654352224</v>
      </c>
      <c r="S17" s="59">
        <f t="shared" si="4"/>
        <v>-0.12641736705597184</v>
      </c>
      <c r="T17" s="85">
        <f t="shared" si="3"/>
        <v>1.0329993796473036</v>
      </c>
      <c r="U17" s="59">
        <f t="shared" si="4"/>
        <v>1.605749813637793</v>
      </c>
      <c r="V17" s="85">
        <f t="shared" si="5"/>
        <v>0.38028695148222474</v>
      </c>
      <c r="W17" s="59">
        <f t="shared" si="6"/>
        <v>-3.0799738511333432</v>
      </c>
    </row>
    <row r="18" spans="1:23" x14ac:dyDescent="0.3">
      <c r="A18" s="225">
        <v>2013</v>
      </c>
      <c r="B18" s="225">
        <v>1</v>
      </c>
      <c r="C18" s="86">
        <f>+B5</f>
        <v>3.1943633401566749</v>
      </c>
      <c r="D18" s="347">
        <v>3.49</v>
      </c>
      <c r="E18" s="86">
        <f t="shared" si="0"/>
        <v>-0.29563665984332532</v>
      </c>
      <c r="F18">
        <v>2013</v>
      </c>
      <c r="G18">
        <v>1</v>
      </c>
      <c r="H18" s="86">
        <f>+F5</f>
        <v>93.497538859106299</v>
      </c>
      <c r="I18" s="347">
        <v>94.33</v>
      </c>
      <c r="J18" s="86">
        <f t="shared" si="1"/>
        <v>-0.83246114089369883</v>
      </c>
      <c r="K18" s="225">
        <v>2013</v>
      </c>
      <c r="L18" s="225">
        <v>1</v>
      </c>
      <c r="M18" s="86">
        <f>+J5</f>
        <v>29.562430564492338</v>
      </c>
      <c r="N18" s="347">
        <v>58.62</v>
      </c>
      <c r="O18" s="86">
        <f t="shared" si="2"/>
        <v>-29.057569435507659</v>
      </c>
      <c r="R18" s="85">
        <f t="shared" si="3"/>
        <v>0.80132102168104613</v>
      </c>
      <c r="S18" s="59">
        <f t="shared" si="4"/>
        <v>-0.50067102536376362</v>
      </c>
      <c r="T18" s="85">
        <f t="shared" si="3"/>
        <v>0.88409757939181544</v>
      </c>
      <c r="U18" s="59">
        <f t="shared" si="4"/>
        <v>-5.0069845702735734</v>
      </c>
      <c r="V18" s="85">
        <f t="shared" si="5"/>
        <v>0.38828890367295549</v>
      </c>
      <c r="W18" s="59">
        <f t="shared" si="6"/>
        <v>-3.0830239254883045</v>
      </c>
    </row>
    <row r="19" spans="1:23" x14ac:dyDescent="0.3">
      <c r="A19" s="225"/>
      <c r="B19" s="225">
        <v>2</v>
      </c>
      <c r="C19" s="86">
        <f>+C5</f>
        <v>3.40109794698254</v>
      </c>
      <c r="D19" s="347">
        <v>4.01</v>
      </c>
      <c r="E19" s="86">
        <f t="shared" si="0"/>
        <v>-0.60890205301745981</v>
      </c>
      <c r="F19"/>
      <c r="G19">
        <v>2</v>
      </c>
      <c r="H19" s="86">
        <f>+G5</f>
        <v>94.205658185873318</v>
      </c>
      <c r="I19" s="347">
        <v>94.05</v>
      </c>
      <c r="J19" s="86">
        <f t="shared" si="1"/>
        <v>0.15565818587332103</v>
      </c>
      <c r="L19" s="225">
        <v>2</v>
      </c>
      <c r="M19" s="86">
        <f>+K5</f>
        <v>27.658811504592489</v>
      </c>
      <c r="N19" s="347">
        <v>56.34</v>
      </c>
      <c r="O19" s="86">
        <f t="shared" si="2"/>
        <v>-28.681188495407515</v>
      </c>
      <c r="R19" s="85">
        <f t="shared" si="3"/>
        <v>0.8919361893122959</v>
      </c>
      <c r="S19" s="59">
        <f t="shared" si="4"/>
        <v>-0.34558806657927787</v>
      </c>
      <c r="T19" s="85">
        <f t="shared" si="3"/>
        <v>0.94472044351488393</v>
      </c>
      <c r="U19" s="59">
        <f t="shared" si="4"/>
        <v>-4.1687419136555661</v>
      </c>
      <c r="V19" s="85">
        <f t="shared" si="5"/>
        <v>0.44039589298274295</v>
      </c>
      <c r="W19" s="59">
        <f t="shared" si="6"/>
        <v>-4.5316740586257538</v>
      </c>
    </row>
    <row r="20" spans="1:23" x14ac:dyDescent="0.3">
      <c r="A20" s="225"/>
      <c r="B20" s="225">
        <v>3</v>
      </c>
      <c r="C20" s="86">
        <f>+D5</f>
        <v>3.1564381981715375</v>
      </c>
      <c r="D20" s="347">
        <v>3.56</v>
      </c>
      <c r="E20" s="86">
        <f t="shared" si="0"/>
        <v>-0.40356180182846257</v>
      </c>
      <c r="F20"/>
      <c r="G20">
        <v>3</v>
      </c>
      <c r="H20" s="86">
        <f>+H5</f>
        <v>99.351487960998611</v>
      </c>
      <c r="I20" s="347">
        <v>105.83</v>
      </c>
      <c r="J20" s="86">
        <f t="shared" si="1"/>
        <v>-6.4785120390013873</v>
      </c>
      <c r="L20" s="225">
        <v>3</v>
      </c>
      <c r="M20" s="86">
        <f>+L5</f>
        <v>29.662225780500094</v>
      </c>
      <c r="N20" s="347">
        <v>60.06</v>
      </c>
      <c r="O20" s="86">
        <f t="shared" si="2"/>
        <v>-30.397774219499908</v>
      </c>
      <c r="Q20" s="59"/>
      <c r="R20" s="59"/>
    </row>
    <row r="21" spans="1:23" x14ac:dyDescent="0.3">
      <c r="A21" s="225"/>
      <c r="B21" s="225">
        <v>4</v>
      </c>
      <c r="C21" s="86">
        <f>+E5</f>
        <v>3.1065909003596723</v>
      </c>
      <c r="D21" s="347">
        <v>3.85</v>
      </c>
      <c r="E21" s="86">
        <f t="shared" si="0"/>
        <v>-0.74340909964032775</v>
      </c>
      <c r="F21"/>
      <c r="G21">
        <v>4</v>
      </c>
      <c r="H21" s="86">
        <f>+I5</f>
        <v>92.443098166660917</v>
      </c>
      <c r="I21" s="347">
        <v>97.44</v>
      </c>
      <c r="J21" s="86">
        <f t="shared" si="1"/>
        <v>-4.9969018333390807</v>
      </c>
      <c r="L21" s="225">
        <v>4</v>
      </c>
      <c r="M21" s="86">
        <f>+M5</f>
        <v>31.633785438690982</v>
      </c>
      <c r="N21" s="347">
        <v>63.179999999999993</v>
      </c>
      <c r="O21" s="86">
        <f t="shared" si="2"/>
        <v>-31.546214561309011</v>
      </c>
      <c r="Q21" s="59"/>
    </row>
    <row r="22" spans="1:23" x14ac:dyDescent="0.3">
      <c r="A22" s="225">
        <v>2014</v>
      </c>
      <c r="B22" s="225">
        <v>1</v>
      </c>
      <c r="C22" s="86">
        <f>+B6</f>
        <v>4.0663398367713723</v>
      </c>
      <c r="D22" s="347">
        <v>5.21</v>
      </c>
      <c r="E22" s="86">
        <f t="shared" si="0"/>
        <v>-1.1436601632286276</v>
      </c>
      <c r="F22">
        <v>2014</v>
      </c>
      <c r="G22">
        <v>1</v>
      </c>
      <c r="H22" s="86">
        <f>+F6</f>
        <v>90.628871315772528</v>
      </c>
      <c r="I22" s="347">
        <v>98.68</v>
      </c>
      <c r="J22" s="86">
        <f t="shared" si="1"/>
        <v>-8.0511286842274785</v>
      </c>
      <c r="K22" s="225">
        <v>2014</v>
      </c>
      <c r="L22" s="225">
        <v>1</v>
      </c>
      <c r="M22" s="86">
        <f>+J6</f>
        <v>32.213331323512982</v>
      </c>
      <c r="N22" s="347">
        <v>67.14</v>
      </c>
      <c r="O22" s="86">
        <f t="shared" si="2"/>
        <v>-34.926668676487019</v>
      </c>
      <c r="Q22" s="59"/>
    </row>
    <row r="23" spans="1:23" x14ac:dyDescent="0.3">
      <c r="A23" s="225"/>
      <c r="B23" s="225">
        <v>2</v>
      </c>
      <c r="C23" s="86">
        <f>+C6</f>
        <v>3.6078111268960278</v>
      </c>
      <c r="D23" s="347">
        <v>4.6100000000000003</v>
      </c>
      <c r="E23" s="86">
        <f t="shared" si="0"/>
        <v>-1.0021888731039725</v>
      </c>
      <c r="F23"/>
      <c r="G23">
        <v>2</v>
      </c>
      <c r="H23" s="86">
        <f>+G6</f>
        <v>92.915578267458542</v>
      </c>
      <c r="I23" s="347">
        <v>103.35</v>
      </c>
      <c r="J23" s="86">
        <f t="shared" si="1"/>
        <v>-10.434421732541452</v>
      </c>
      <c r="L23" s="225">
        <v>2</v>
      </c>
      <c r="M23" s="86">
        <f>+K6</f>
        <v>27.003945797539327</v>
      </c>
      <c r="N23" s="347">
        <v>60.900000000000006</v>
      </c>
      <c r="O23" s="86">
        <f t="shared" si="2"/>
        <v>-33.896054202460675</v>
      </c>
      <c r="Q23" s="59"/>
    </row>
    <row r="24" spans="1:23" x14ac:dyDescent="0.3">
      <c r="A24" s="225"/>
      <c r="B24" s="225">
        <v>3</v>
      </c>
      <c r="C24" s="86">
        <f>+D6</f>
        <v>3.1614039752446934</v>
      </c>
      <c r="D24" s="347">
        <v>3.96</v>
      </c>
      <c r="E24" s="86">
        <f t="shared" si="0"/>
        <v>-0.79859602475530655</v>
      </c>
      <c r="F24"/>
      <c r="G24">
        <v>3</v>
      </c>
      <c r="H24" s="86">
        <f>+H6</f>
        <v>88.386980562009455</v>
      </c>
      <c r="I24" s="347">
        <v>97.87</v>
      </c>
      <c r="J24" s="86">
        <f t="shared" si="1"/>
        <v>-9.4830194379905492</v>
      </c>
      <c r="L24" s="225">
        <v>3</v>
      </c>
      <c r="M24" s="86">
        <f>+L6</f>
        <v>26.731755145254336</v>
      </c>
      <c r="N24" s="347">
        <v>58.980000000000004</v>
      </c>
      <c r="O24" s="86">
        <f t="shared" si="2"/>
        <v>-32.248244854745664</v>
      </c>
      <c r="Q24" s="59"/>
    </row>
    <row r="25" spans="1:23" x14ac:dyDescent="0.3">
      <c r="A25" s="225"/>
      <c r="B25" s="225">
        <v>4</v>
      </c>
      <c r="C25" s="86">
        <f>+E6</f>
        <v>3.2521469704798278</v>
      </c>
      <c r="D25" s="347">
        <v>3.8</v>
      </c>
      <c r="E25" s="86">
        <f t="shared" si="0"/>
        <v>-0.54785302952017201</v>
      </c>
      <c r="F25"/>
      <c r="G25">
        <v>4</v>
      </c>
      <c r="H25" s="86">
        <f>+I6</f>
        <v>72.565299196538632</v>
      </c>
      <c r="I25" s="347">
        <v>73.209999999999994</v>
      </c>
      <c r="J25" s="86">
        <f t="shared" si="1"/>
        <v>-0.64470080346136172</v>
      </c>
      <c r="L25" s="225">
        <v>4</v>
      </c>
      <c r="M25" s="86">
        <f>+M6</f>
        <v>26.583586983054811</v>
      </c>
      <c r="N25" s="347">
        <v>44.46</v>
      </c>
      <c r="O25" s="86">
        <f t="shared" si="2"/>
        <v>-17.87641301694519</v>
      </c>
      <c r="Q25" s="59"/>
    </row>
    <row r="26" spans="1:23" x14ac:dyDescent="0.3">
      <c r="A26" s="225">
        <v>2015</v>
      </c>
      <c r="B26" s="225">
        <v>1</v>
      </c>
      <c r="C26" s="86">
        <f>+B7</f>
        <v>3.0005861609790805</v>
      </c>
      <c r="D26" s="348">
        <v>2.9</v>
      </c>
      <c r="E26" s="86">
        <f t="shared" si="0"/>
        <v>0.10058616097908057</v>
      </c>
      <c r="F26">
        <v>2015</v>
      </c>
      <c r="G26">
        <v>1</v>
      </c>
      <c r="H26" s="86">
        <f>+F7</f>
        <v>48.510853219466114</v>
      </c>
      <c r="I26" s="348">
        <v>48.49</v>
      </c>
      <c r="J26" s="86">
        <f t="shared" si="1"/>
        <v>2.0853219466111739E-2</v>
      </c>
      <c r="K26" s="225">
        <v>2015</v>
      </c>
      <c r="L26" s="225">
        <v>1</v>
      </c>
      <c r="M26" s="86">
        <f>+J7</f>
        <v>12.297435836257215</v>
      </c>
      <c r="N26" s="348">
        <v>32.58</v>
      </c>
      <c r="O26" s="86">
        <f t="shared" si="2"/>
        <v>-20.282564163742784</v>
      </c>
    </row>
    <row r="27" spans="1:23" x14ac:dyDescent="0.3">
      <c r="A27" s="225"/>
      <c r="B27" s="225">
        <v>2</v>
      </c>
      <c r="C27" s="86">
        <f>+C7</f>
        <v>2.2112254318040283</v>
      </c>
      <c r="D27" s="348">
        <v>2.75</v>
      </c>
      <c r="E27" s="86">
        <f t="shared" si="0"/>
        <v>-0.53877456819597169</v>
      </c>
      <c r="F27"/>
      <c r="G27">
        <v>2</v>
      </c>
      <c r="H27" s="86">
        <f>+G7</f>
        <v>57.877731232547312</v>
      </c>
      <c r="I27" s="348">
        <v>57.85</v>
      </c>
      <c r="J27" s="86">
        <f t="shared" si="1"/>
        <v>2.7731232547310469E-2</v>
      </c>
      <c r="L27" s="225">
        <v>2</v>
      </c>
      <c r="M27" s="86">
        <f>+K7</f>
        <v>11.610082327210607</v>
      </c>
      <c r="N27" s="348">
        <v>31.200000000000003</v>
      </c>
      <c r="O27" s="86">
        <f t="shared" si="2"/>
        <v>-19.589917672789397</v>
      </c>
    </row>
    <row r="28" spans="1:23" x14ac:dyDescent="0.3">
      <c r="A28" s="225"/>
      <c r="B28" s="225">
        <v>3</v>
      </c>
      <c r="C28" s="86">
        <f>+D7</f>
        <v>1.9892035272951427</v>
      </c>
      <c r="D28" s="348">
        <v>2.76</v>
      </c>
      <c r="E28" s="86">
        <f t="shared" si="0"/>
        <v>-0.77079647270485707</v>
      </c>
      <c r="F28"/>
      <c r="G28">
        <v>3</v>
      </c>
      <c r="H28" s="86">
        <f>+H7</f>
        <v>48.810384477868723</v>
      </c>
      <c r="I28" s="348">
        <v>46.64</v>
      </c>
      <c r="J28" s="86">
        <f t="shared" si="1"/>
        <v>2.1703844778687227</v>
      </c>
      <c r="L28" s="225">
        <v>3</v>
      </c>
      <c r="M28" s="86">
        <f>+L7</f>
        <v>7.9572258210428712</v>
      </c>
      <c r="N28" s="348">
        <v>28.08</v>
      </c>
      <c r="O28" s="86">
        <f t="shared" si="2"/>
        <v>-20.122774178957126</v>
      </c>
    </row>
    <row r="29" spans="1:23" x14ac:dyDescent="0.3">
      <c r="A29" s="225"/>
      <c r="B29" s="225">
        <v>4</v>
      </c>
      <c r="C29" s="86">
        <f>+E7</f>
        <v>2.8265175038171244</v>
      </c>
      <c r="D29" s="348">
        <v>2.12</v>
      </c>
      <c r="E29" s="86">
        <f t="shared" si="0"/>
        <v>0.7065175038171243</v>
      </c>
      <c r="F29"/>
      <c r="G29">
        <v>4</v>
      </c>
      <c r="H29" s="86">
        <f>+I7</f>
        <v>45.515293368111585</v>
      </c>
      <c r="I29" s="348">
        <v>41.94</v>
      </c>
      <c r="J29" s="86">
        <f t="shared" si="1"/>
        <v>3.5752933681115877</v>
      </c>
      <c r="L29" s="225">
        <v>4</v>
      </c>
      <c r="M29" s="86">
        <f>+M7</f>
        <v>13.484450119400435</v>
      </c>
      <c r="N29" s="348">
        <v>27.599999999999998</v>
      </c>
      <c r="O29" s="86">
        <f t="shared" si="2"/>
        <v>-14.115549880599563</v>
      </c>
    </row>
    <row r="30" spans="1:23" x14ac:dyDescent="0.3">
      <c r="A30" s="225">
        <v>2016</v>
      </c>
      <c r="B30" s="225">
        <v>1</v>
      </c>
      <c r="C30" s="86">
        <f>+B8</f>
        <v>1.8578671650992811</v>
      </c>
      <c r="D30" s="347">
        <v>1.99</v>
      </c>
      <c r="E30" s="86">
        <f t="shared" si="0"/>
        <v>-0.13213283490071892</v>
      </c>
      <c r="F30">
        <v>2016</v>
      </c>
      <c r="G30" s="225">
        <v>1</v>
      </c>
      <c r="H30" s="86">
        <f>+F8</f>
        <v>28.379749114795263</v>
      </c>
      <c r="I30" s="348">
        <v>33.35</v>
      </c>
      <c r="J30" s="86">
        <f t="shared" si="1"/>
        <v>-4.970250885204738</v>
      </c>
      <c r="K30" s="225">
        <v>2016</v>
      </c>
      <c r="L30" s="225">
        <v>1</v>
      </c>
      <c r="M30" s="86">
        <f>+J8</f>
        <v>8.2482407844204904</v>
      </c>
      <c r="N30" s="348">
        <v>24.119999999999997</v>
      </c>
      <c r="O30" s="86">
        <f t="shared" si="2"/>
        <v>-15.871759215579507</v>
      </c>
    </row>
    <row r="31" spans="1:23" x14ac:dyDescent="0.3">
      <c r="A31" s="225"/>
      <c r="B31" s="225">
        <v>2</v>
      </c>
      <c r="C31" s="86">
        <f>+C8</f>
        <v>1.710035930247795</v>
      </c>
      <c r="D31" s="348">
        <v>2.15</v>
      </c>
      <c r="E31" s="86">
        <f t="shared" si="0"/>
        <v>-0.43996406975220492</v>
      </c>
      <c r="F31"/>
      <c r="G31" s="225">
        <v>2</v>
      </c>
      <c r="H31" s="86">
        <f>+G8</f>
        <v>39.743230988913268</v>
      </c>
      <c r="I31" s="348">
        <v>45.46</v>
      </c>
      <c r="J31" s="86">
        <f t="shared" si="1"/>
        <v>-5.7167690110867326</v>
      </c>
      <c r="L31" s="225">
        <v>2</v>
      </c>
      <c r="M31" s="86">
        <f>+K8</f>
        <v>11.427848846472918</v>
      </c>
      <c r="N31" s="348">
        <v>30</v>
      </c>
      <c r="O31" s="86">
        <f t="shared" si="2"/>
        <v>-18.572151153527081</v>
      </c>
    </row>
    <row r="32" spans="1:23" x14ac:dyDescent="0.3">
      <c r="A32" s="225"/>
      <c r="B32" s="225">
        <v>3</v>
      </c>
      <c r="C32" s="86">
        <f>+D8</f>
        <v>2.1348274712028719</v>
      </c>
      <c r="D32" s="348">
        <v>2.88</v>
      </c>
      <c r="E32" s="86">
        <f t="shared" si="0"/>
        <v>-0.74517252879712803</v>
      </c>
      <c r="F32"/>
      <c r="G32" s="225">
        <v>3</v>
      </c>
      <c r="H32" s="86">
        <f>+H8</f>
        <v>41.11858687299808</v>
      </c>
      <c r="I32" s="348">
        <v>44.85</v>
      </c>
      <c r="J32" s="86">
        <f t="shared" si="1"/>
        <v>-3.7314131270019217</v>
      </c>
      <c r="L32" s="225">
        <v>3</v>
      </c>
      <c r="M32" s="86">
        <f>+L8</f>
        <v>11.587559993990485</v>
      </c>
      <c r="N32" s="348">
        <v>30.240000000000002</v>
      </c>
      <c r="O32" s="86">
        <f t="shared" si="2"/>
        <v>-18.652440006009517</v>
      </c>
    </row>
    <row r="33" spans="1:15" x14ac:dyDescent="0.3">
      <c r="A33" s="225"/>
      <c r="B33" s="225">
        <v>4</v>
      </c>
      <c r="C33" s="86">
        <f>+E8</f>
        <v>2.4606922088817105</v>
      </c>
      <c r="D33" s="348">
        <v>3.04</v>
      </c>
      <c r="E33" s="86">
        <f t="shared" si="0"/>
        <v>-0.57930779111828956</v>
      </c>
      <c r="F33"/>
      <c r="G33" s="225">
        <v>4</v>
      </c>
      <c r="H33" s="86">
        <f>+I8</f>
        <v>45.59657315969104</v>
      </c>
      <c r="I33" s="348">
        <v>49.14</v>
      </c>
      <c r="J33" s="86">
        <f t="shared" si="1"/>
        <v>-3.5434268403089604</v>
      </c>
      <c r="L33" s="225">
        <v>4</v>
      </c>
      <c r="M33" s="86">
        <f>+M8</f>
        <v>16.350805618519722</v>
      </c>
      <c r="N33" s="348">
        <v>36.299999999999997</v>
      </c>
      <c r="O33" s="86">
        <f t="shared" si="2"/>
        <v>-19.949194381480275</v>
      </c>
    </row>
    <row r="34" spans="1:15" x14ac:dyDescent="0.3">
      <c r="C34" s="86">
        <f>+AVERAGE(C14:C33)</f>
        <v>2.8700629661888066</v>
      </c>
      <c r="D34" s="86">
        <f>+AVERAGE(D14:D33)</f>
        <v>3.2024999999999997</v>
      </c>
      <c r="E34" s="86">
        <f>+AVERAGE(E14:E33)</f>
        <v>-0.33243703381119377</v>
      </c>
      <c r="H34" s="86">
        <f>+AVERAGE(H14:H33)</f>
        <v>72.808456026522606</v>
      </c>
      <c r="I34" s="86">
        <f>+AVERAGE(I14:I33)</f>
        <v>75.4465</v>
      </c>
      <c r="J34" s="86">
        <f>+AVERAGE(J14:J33)</f>
        <v>-2.6380439734773793</v>
      </c>
      <c r="M34" s="86">
        <f>+AVERAGE(M14:M33)</f>
        <v>22.920283626056111</v>
      </c>
      <c r="N34" s="86">
        <f>+AVERAGE(N14:N33)</f>
        <v>48.669000000000011</v>
      </c>
      <c r="O34" s="86">
        <f>+AVERAGE(O14:O33)</f>
        <v>-25.748716373943886</v>
      </c>
    </row>
    <row r="35" spans="1:15" x14ac:dyDescent="0.3">
      <c r="E35" s="85">
        <f>+E34/D34</f>
        <v>-0.10380547503862414</v>
      </c>
      <c r="J35" s="85">
        <f>+J34/I34</f>
        <v>-3.4965756840640447E-2</v>
      </c>
      <c r="M35" s="225"/>
      <c r="N35" s="225"/>
      <c r="O35" s="85">
        <f>+O34/N34</f>
        <v>-0.52905784737602746</v>
      </c>
    </row>
    <row r="55" spans="12:12" x14ac:dyDescent="0.3">
      <c r="L55" s="225" t="s">
        <v>462</v>
      </c>
    </row>
    <row r="56" spans="12:12" x14ac:dyDescent="0.3">
      <c r="L56" s="225" t="s">
        <v>327</v>
      </c>
    </row>
    <row r="57" spans="12:12" x14ac:dyDescent="0.3">
      <c r="L57" s="225" t="s">
        <v>332</v>
      </c>
    </row>
    <row r="58" spans="12:12" x14ac:dyDescent="0.3">
      <c r="L58" s="225" t="s">
        <v>335</v>
      </c>
    </row>
    <row r="59" spans="12:12" x14ac:dyDescent="0.3">
      <c r="L59" s="225" t="s">
        <v>343</v>
      </c>
    </row>
    <row r="60" spans="12:12" x14ac:dyDescent="0.3">
      <c r="L60" s="225" t="s">
        <v>354</v>
      </c>
    </row>
    <row r="61" spans="12:12" x14ac:dyDescent="0.3">
      <c r="L61" s="225" t="s">
        <v>314</v>
      </c>
    </row>
    <row r="62" spans="12:12" x14ac:dyDescent="0.3">
      <c r="L62" s="225" t="s">
        <v>303</v>
      </c>
    </row>
    <row r="63" spans="12:12" x14ac:dyDescent="0.3">
      <c r="L63" s="225" t="s">
        <v>383</v>
      </c>
    </row>
    <row r="64" spans="12:12" x14ac:dyDescent="0.3">
      <c r="L64" s="225" t="s">
        <v>463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4"/>
  <sheetViews>
    <sheetView workbookViewId="0">
      <pane xSplit="2" ySplit="2" topLeftCell="C3" activePane="bottomRight" state="frozen"/>
      <selection pane="topRight" activeCell="C1" sqref="C1"/>
      <selection pane="bottomLeft" activeCell="A3" sqref="A3"/>
      <selection pane="bottomRight" activeCell="E11" sqref="E11"/>
    </sheetView>
  </sheetViews>
  <sheetFormatPr defaultRowHeight="14.4" x14ac:dyDescent="0.3"/>
  <cols>
    <col min="3" max="3" width="9.44140625" customWidth="1"/>
    <col min="4" max="4" width="8.109375" customWidth="1"/>
    <col min="6" max="7" width="8.109375" customWidth="1"/>
    <col min="9" max="10" width="8.109375" customWidth="1"/>
    <col min="12" max="13" width="8.109375" customWidth="1"/>
    <col min="15" max="16" width="8.109375" customWidth="1"/>
    <col min="18" max="18" width="19.5546875" customWidth="1"/>
    <col min="19" max="19" width="8.88671875" style="117" customWidth="1"/>
    <col min="20" max="23" width="14.109375" customWidth="1"/>
    <col min="24" max="24" width="15.109375" bestFit="1" customWidth="1"/>
    <col min="25" max="25" width="9.33203125" customWidth="1"/>
    <col min="26" max="26" width="44.44140625" bestFit="1" customWidth="1"/>
    <col min="28" max="28" width="10.5546875" bestFit="1" customWidth="1"/>
  </cols>
  <sheetData>
    <row r="1" spans="1:27" x14ac:dyDescent="0.3">
      <c r="C1" s="356" t="s">
        <v>158</v>
      </c>
      <c r="D1" s="356"/>
      <c r="E1" s="357"/>
      <c r="F1" s="358" t="s">
        <v>159</v>
      </c>
      <c r="G1" s="359"/>
      <c r="H1" s="360"/>
      <c r="I1" s="361" t="s">
        <v>160</v>
      </c>
      <c r="J1" s="362"/>
      <c r="K1" s="363"/>
      <c r="L1" s="364" t="s">
        <v>165</v>
      </c>
      <c r="M1" s="365"/>
      <c r="N1" s="366"/>
      <c r="O1" s="367" t="s">
        <v>161</v>
      </c>
      <c r="P1" s="368"/>
      <c r="Q1" s="369"/>
      <c r="R1" s="82"/>
      <c r="S1" s="115"/>
      <c r="T1" s="82"/>
      <c r="U1" s="82"/>
      <c r="V1" s="82"/>
      <c r="W1" s="82"/>
      <c r="X1" s="82"/>
      <c r="Y1" s="82"/>
      <c r="Z1" s="82"/>
    </row>
    <row r="2" spans="1:27" x14ac:dyDescent="0.3">
      <c r="C2" s="104" t="s">
        <v>162</v>
      </c>
      <c r="D2" s="96" t="s">
        <v>163</v>
      </c>
      <c r="E2" s="108" t="s">
        <v>164</v>
      </c>
      <c r="F2" s="106" t="s">
        <v>162</v>
      </c>
      <c r="G2" s="107" t="s">
        <v>163</v>
      </c>
      <c r="H2" s="109" t="s">
        <v>164</v>
      </c>
      <c r="I2" s="100" t="s">
        <v>162</v>
      </c>
      <c r="J2" s="97" t="s">
        <v>163</v>
      </c>
      <c r="K2" s="110" t="s">
        <v>164</v>
      </c>
      <c r="L2" s="101" t="s">
        <v>162</v>
      </c>
      <c r="M2" s="98" t="s">
        <v>163</v>
      </c>
      <c r="N2" s="129" t="s">
        <v>164</v>
      </c>
      <c r="O2" s="103" t="s">
        <v>162</v>
      </c>
      <c r="P2" s="99" t="s">
        <v>163</v>
      </c>
      <c r="Q2" s="113" t="s">
        <v>164</v>
      </c>
      <c r="R2" s="115" t="s">
        <v>155</v>
      </c>
      <c r="S2" s="115"/>
      <c r="T2" s="82"/>
      <c r="U2" s="82"/>
      <c r="V2" s="82"/>
      <c r="W2" s="82"/>
      <c r="X2" s="175"/>
      <c r="Y2" s="82"/>
      <c r="Z2" s="82"/>
    </row>
    <row r="3" spans="1:27" x14ac:dyDescent="0.3">
      <c r="A3" s="131" t="s">
        <v>21</v>
      </c>
      <c r="B3" s="82">
        <v>2007</v>
      </c>
      <c r="C3" s="104"/>
      <c r="D3" s="93"/>
      <c r="E3" s="108"/>
      <c r="F3" s="106"/>
      <c r="G3" s="105"/>
      <c r="H3" s="109"/>
      <c r="I3" s="100"/>
      <c r="J3" s="94"/>
      <c r="K3" s="110"/>
      <c r="L3" s="101"/>
      <c r="M3" s="98"/>
      <c r="N3" s="111"/>
      <c r="O3" s="102"/>
      <c r="P3" s="95"/>
      <c r="Q3" s="112"/>
      <c r="R3" s="115"/>
      <c r="S3" s="115"/>
      <c r="T3" s="82"/>
      <c r="U3" s="82"/>
      <c r="V3" s="82"/>
      <c r="W3" s="82"/>
      <c r="X3" s="175"/>
      <c r="Y3" s="82"/>
      <c r="Z3" s="82"/>
    </row>
    <row r="4" spans="1:27" x14ac:dyDescent="0.3">
      <c r="A4" s="131" t="s">
        <v>21</v>
      </c>
      <c r="B4" s="16">
        <v>2008</v>
      </c>
      <c r="C4" s="104"/>
      <c r="D4" s="93"/>
      <c r="E4" s="108"/>
      <c r="F4" s="106"/>
      <c r="G4" s="105"/>
      <c r="H4" s="109"/>
      <c r="I4" s="100"/>
      <c r="J4" s="94"/>
      <c r="K4" s="110"/>
      <c r="L4" s="101"/>
      <c r="M4" s="98"/>
      <c r="N4" s="111"/>
      <c r="O4" s="102"/>
      <c r="P4" s="95"/>
      <c r="Q4" s="112"/>
      <c r="R4" s="115"/>
      <c r="S4" s="115"/>
      <c r="T4" s="82"/>
      <c r="U4" s="82"/>
      <c r="V4" s="82"/>
      <c r="W4" s="82"/>
      <c r="X4" s="175"/>
      <c r="Y4" s="82"/>
      <c r="Z4" s="82"/>
    </row>
    <row r="5" spans="1:27" x14ac:dyDescent="0.3">
      <c r="A5" s="131" t="s">
        <v>21</v>
      </c>
      <c r="B5" s="53">
        <v>2009</v>
      </c>
      <c r="C5" s="104"/>
      <c r="D5" s="93"/>
      <c r="E5" s="108"/>
      <c r="F5" s="106"/>
      <c r="G5" s="105"/>
      <c r="H5" s="109"/>
      <c r="I5" s="100"/>
      <c r="J5" s="94"/>
      <c r="K5" s="110"/>
      <c r="L5" s="101"/>
      <c r="M5" s="98"/>
      <c r="N5" s="111"/>
      <c r="O5" s="102"/>
      <c r="P5" s="95"/>
      <c r="Q5" s="112"/>
      <c r="R5" s="115"/>
      <c r="S5" s="115"/>
      <c r="T5" s="82"/>
      <c r="U5" s="82"/>
      <c r="V5" s="82"/>
      <c r="W5" s="82"/>
      <c r="X5" s="175"/>
      <c r="Y5" s="82"/>
      <c r="Z5" s="82"/>
    </row>
    <row r="6" spans="1:27" x14ac:dyDescent="0.3">
      <c r="A6" s="131" t="s">
        <v>21</v>
      </c>
      <c r="B6" s="16">
        <v>2010</v>
      </c>
      <c r="C6" s="104"/>
      <c r="D6" s="93"/>
      <c r="E6" s="108"/>
      <c r="F6" s="106"/>
      <c r="G6" s="105"/>
      <c r="H6" s="109"/>
      <c r="I6" s="100"/>
      <c r="J6" s="94"/>
      <c r="K6" s="110"/>
      <c r="L6" s="101"/>
      <c r="M6" s="98"/>
      <c r="N6" s="111"/>
      <c r="O6" s="102"/>
      <c r="P6" s="95"/>
      <c r="Q6" s="112"/>
      <c r="R6" s="115"/>
      <c r="S6" s="115"/>
      <c r="T6" s="82"/>
      <c r="U6" s="82"/>
      <c r="V6" s="82"/>
      <c r="W6" s="82"/>
      <c r="X6" s="175"/>
      <c r="Y6" s="82"/>
      <c r="Z6" s="82"/>
    </row>
    <row r="7" spans="1:27" x14ac:dyDescent="0.3">
      <c r="A7" s="131" t="s">
        <v>21</v>
      </c>
      <c r="B7" s="53">
        <v>2011</v>
      </c>
      <c r="C7" s="104"/>
      <c r="D7" s="93"/>
      <c r="E7" s="108"/>
      <c r="F7" s="106"/>
      <c r="G7" s="105"/>
      <c r="H7" s="109"/>
      <c r="I7" s="100"/>
      <c r="J7" s="94"/>
      <c r="K7" s="110"/>
      <c r="L7" s="101"/>
      <c r="M7" s="98"/>
      <c r="N7" s="111"/>
      <c r="O7" s="102"/>
      <c r="P7" s="95"/>
      <c r="Q7" s="112"/>
      <c r="R7" s="115"/>
      <c r="S7" s="115"/>
      <c r="T7" s="82"/>
      <c r="U7" s="82"/>
      <c r="V7" s="82"/>
      <c r="W7" s="82"/>
      <c r="X7" s="175"/>
      <c r="Y7" s="82"/>
      <c r="Z7" s="82"/>
    </row>
    <row r="8" spans="1:27" x14ac:dyDescent="0.3">
      <c r="A8" s="131" t="s">
        <v>21</v>
      </c>
      <c r="B8" s="16">
        <v>2012</v>
      </c>
      <c r="C8" s="104">
        <v>573</v>
      </c>
      <c r="D8" s="93">
        <v>220</v>
      </c>
      <c r="E8" s="108">
        <f>+C8/D8</f>
        <v>2.6045454545454545</v>
      </c>
      <c r="F8" s="106">
        <v>496</v>
      </c>
      <c r="G8" s="105">
        <v>230</v>
      </c>
      <c r="H8" s="109">
        <f>+F8/G8</f>
        <v>2.1565217391304348</v>
      </c>
      <c r="I8" s="100">
        <v>613</v>
      </c>
      <c r="J8" s="94">
        <v>231</v>
      </c>
      <c r="K8" s="110">
        <f>+I8/J8</f>
        <v>2.6536796536796539</v>
      </c>
      <c r="L8" s="101">
        <f t="shared" ref="L8:M10" si="0">+O8-C8-F8-I8</f>
        <v>764.84000000000015</v>
      </c>
      <c r="M8" s="98">
        <f t="shared" si="0"/>
        <v>232</v>
      </c>
      <c r="N8" s="111">
        <f>+L8/M8</f>
        <v>3.2967241379310352</v>
      </c>
      <c r="O8" s="102">
        <f>+P8*Q8</f>
        <v>2446.84</v>
      </c>
      <c r="P8" s="95">
        <v>913</v>
      </c>
      <c r="Q8" s="112">
        <v>2.68</v>
      </c>
      <c r="R8" s="82"/>
      <c r="S8" s="115"/>
      <c r="T8" s="82"/>
      <c r="U8" s="82"/>
      <c r="V8" s="82"/>
      <c r="W8" s="82"/>
      <c r="X8" s="176"/>
      <c r="Y8" s="84"/>
      <c r="Z8" s="176"/>
      <c r="AA8" s="59"/>
    </row>
    <row r="9" spans="1:27" x14ac:dyDescent="0.3">
      <c r="A9" s="43" t="s">
        <v>21</v>
      </c>
      <c r="B9" s="53">
        <v>2013</v>
      </c>
      <c r="C9" s="104">
        <v>807</v>
      </c>
      <c r="D9" s="96">
        <v>242</v>
      </c>
      <c r="E9" s="108">
        <v>3.33</v>
      </c>
      <c r="F9" s="106">
        <v>935</v>
      </c>
      <c r="G9" s="107">
        <v>241</v>
      </c>
      <c r="H9" s="109">
        <v>3.88</v>
      </c>
      <c r="I9" s="100">
        <v>805</v>
      </c>
      <c r="J9" s="97">
        <v>242</v>
      </c>
      <c r="K9" s="110">
        <v>3.33</v>
      </c>
      <c r="L9" s="101">
        <f t="shared" si="0"/>
        <v>841</v>
      </c>
      <c r="M9" s="98">
        <f t="shared" si="0"/>
        <v>243</v>
      </c>
      <c r="N9" s="111">
        <f>+L9/M9</f>
        <v>3.4609053497942388</v>
      </c>
      <c r="O9" s="102">
        <f t="shared" ref="O9:O19" si="1">+P9*Q9</f>
        <v>3388</v>
      </c>
      <c r="P9" s="99">
        <v>968</v>
      </c>
      <c r="Q9" s="113">
        <v>3.5</v>
      </c>
      <c r="R9" s="82" t="s">
        <v>276</v>
      </c>
      <c r="S9" s="115"/>
      <c r="T9" s="82"/>
      <c r="U9" s="82"/>
      <c r="V9" s="82"/>
      <c r="W9" s="82"/>
      <c r="X9" s="176"/>
      <c r="Y9" s="84"/>
      <c r="Z9" s="176"/>
      <c r="AA9" s="59"/>
    </row>
    <row r="10" spans="1:27" x14ac:dyDescent="0.3">
      <c r="A10" s="43" t="s">
        <v>21</v>
      </c>
      <c r="B10" s="53">
        <v>2014</v>
      </c>
      <c r="C10" s="104">
        <v>1217</v>
      </c>
      <c r="D10" s="96">
        <v>243</v>
      </c>
      <c r="E10" s="108">
        <v>5.01</v>
      </c>
      <c r="F10" s="106">
        <v>991</v>
      </c>
      <c r="G10" s="107">
        <v>238</v>
      </c>
      <c r="H10" s="109">
        <v>4.16</v>
      </c>
      <c r="I10" s="100">
        <v>830</v>
      </c>
      <c r="J10" s="97">
        <v>230</v>
      </c>
      <c r="K10" s="110">
        <v>3.62</v>
      </c>
      <c r="L10" s="101">
        <f t="shared" si="0"/>
        <v>808.15000000000009</v>
      </c>
      <c r="M10" s="98">
        <f t="shared" si="0"/>
        <v>234</v>
      </c>
      <c r="N10" s="111">
        <f>+L10/M10</f>
        <v>3.4536324786324792</v>
      </c>
      <c r="O10" s="102">
        <f t="shared" si="1"/>
        <v>3846.15</v>
      </c>
      <c r="P10" s="99">
        <v>945</v>
      </c>
      <c r="Q10" s="113">
        <v>4.07</v>
      </c>
      <c r="R10" s="115" t="s">
        <v>70</v>
      </c>
      <c r="S10" s="115"/>
      <c r="T10" s="82"/>
      <c r="U10" s="82"/>
      <c r="V10" s="82"/>
      <c r="W10" s="82"/>
      <c r="X10" s="82"/>
      <c r="Y10" s="84"/>
      <c r="Z10" s="176"/>
      <c r="AA10" s="59"/>
    </row>
    <row r="11" spans="1:27" x14ac:dyDescent="0.3">
      <c r="A11" s="41" t="s">
        <v>21</v>
      </c>
      <c r="B11" s="42">
        <v>2015</v>
      </c>
      <c r="C11" s="188">
        <v>641</v>
      </c>
      <c r="D11" s="183">
        <v>246</v>
      </c>
      <c r="E11" s="189">
        <v>2.6</v>
      </c>
      <c r="F11" s="190">
        <v>487</v>
      </c>
      <c r="G11" s="184">
        <v>215</v>
      </c>
      <c r="H11" s="191">
        <v>2.2799999999999998</v>
      </c>
      <c r="I11" s="192">
        <f>+J11*K11</f>
        <v>484.41</v>
      </c>
      <c r="J11" s="185">
        <v>201</v>
      </c>
      <c r="K11" s="193">
        <v>2.41</v>
      </c>
      <c r="L11" s="194">
        <f>+O11-C11-F11-I11</f>
        <v>394.59</v>
      </c>
      <c r="M11" s="186">
        <f>+P11-D11-G11-J11</f>
        <v>190</v>
      </c>
      <c r="N11" s="195">
        <f>+L11/M11</f>
        <v>2.0767894736842103</v>
      </c>
      <c r="O11" s="196">
        <v>2007</v>
      </c>
      <c r="P11" s="187">
        <v>852</v>
      </c>
      <c r="Q11" s="197">
        <v>2.36</v>
      </c>
      <c r="R11" s="115"/>
      <c r="S11" s="115"/>
      <c r="T11" s="82"/>
      <c r="U11" s="82"/>
      <c r="V11" s="82"/>
      <c r="W11" s="82"/>
      <c r="X11" s="82"/>
      <c r="Y11" s="84"/>
      <c r="Z11" s="176"/>
      <c r="AA11" s="59"/>
    </row>
    <row r="12" spans="1:27" x14ac:dyDescent="0.3">
      <c r="A12" s="131" t="s">
        <v>27</v>
      </c>
      <c r="B12" s="82">
        <v>2007</v>
      </c>
      <c r="C12" s="104"/>
      <c r="D12" s="93"/>
      <c r="E12" s="108"/>
      <c r="F12" s="106"/>
      <c r="G12" s="105"/>
      <c r="H12" s="109"/>
      <c r="I12" s="100"/>
      <c r="J12" s="94"/>
      <c r="K12" s="110"/>
      <c r="L12" s="101"/>
      <c r="M12" s="98"/>
      <c r="N12" s="111"/>
      <c r="O12" s="102"/>
      <c r="P12" s="95"/>
      <c r="Q12" s="112"/>
      <c r="R12" s="82"/>
      <c r="S12" s="115"/>
      <c r="T12" s="82"/>
      <c r="U12" s="177"/>
      <c r="V12" s="82"/>
      <c r="W12" s="82"/>
      <c r="X12" s="176"/>
      <c r="Y12" s="84"/>
      <c r="Z12" s="82"/>
    </row>
    <row r="13" spans="1:27" x14ac:dyDescent="0.3">
      <c r="A13" s="131" t="s">
        <v>27</v>
      </c>
      <c r="B13" s="16">
        <v>2008</v>
      </c>
      <c r="C13" s="104"/>
      <c r="D13" s="93"/>
      <c r="E13" s="108"/>
      <c r="F13" s="106"/>
      <c r="G13" s="105"/>
      <c r="H13" s="109"/>
      <c r="I13" s="100"/>
      <c r="J13" s="94"/>
      <c r="K13" s="110"/>
      <c r="L13" s="101"/>
      <c r="M13" s="98"/>
      <c r="N13" s="111"/>
      <c r="O13" s="102"/>
      <c r="P13" s="95"/>
      <c r="Q13" s="112"/>
      <c r="R13" s="82"/>
      <c r="S13" s="115"/>
      <c r="T13" s="171" t="s">
        <v>169</v>
      </c>
      <c r="U13" s="171" t="s">
        <v>170</v>
      </c>
      <c r="V13" s="171" t="s">
        <v>171</v>
      </c>
      <c r="W13" s="171" t="s">
        <v>172</v>
      </c>
      <c r="X13" s="82" t="s">
        <v>173</v>
      </c>
      <c r="Y13" s="84"/>
      <c r="Z13" s="82"/>
    </row>
    <row r="14" spans="1:27" x14ac:dyDescent="0.3">
      <c r="A14" s="131" t="s">
        <v>27</v>
      </c>
      <c r="B14" s="53">
        <v>2009</v>
      </c>
      <c r="C14" s="104"/>
      <c r="D14" s="93"/>
      <c r="E14" s="108"/>
      <c r="F14" s="106"/>
      <c r="G14" s="105"/>
      <c r="H14" s="109"/>
      <c r="I14" s="100"/>
      <c r="J14" s="94"/>
      <c r="K14" s="110"/>
      <c r="L14" s="101"/>
      <c r="M14" s="98"/>
      <c r="N14" s="111"/>
      <c r="O14" s="102"/>
      <c r="P14" s="95"/>
      <c r="Q14" s="112"/>
      <c r="R14" s="82"/>
      <c r="S14" s="115">
        <v>2012</v>
      </c>
      <c r="T14" s="120">
        <f>AVERAGE(E17,E26,E35,E80,E143,E152,E161)</f>
        <v>3.3300000000000005</v>
      </c>
      <c r="U14" s="120">
        <f>AVERAGE(H17,H26,H35,E80,H143,H152,H161)</f>
        <v>3.205714285714286</v>
      </c>
      <c r="V14" s="120">
        <f>AVERAGE(K17,K26,K35,E80,K143,K152,K161)</f>
        <v>3.3885714285714283</v>
      </c>
      <c r="W14" s="120">
        <f>AVERAGE(N17,N26,N35,E80,N143,N152,N161)</f>
        <v>3.2609756335783504</v>
      </c>
      <c r="X14" s="120">
        <f>AVERAGE(Q17,Q26,Q35,E80,Q143,Q152,Q161)</f>
        <v>3.2942857142857145</v>
      </c>
      <c r="Y14" s="84"/>
      <c r="Z14" s="82"/>
    </row>
    <row r="15" spans="1:27" x14ac:dyDescent="0.3">
      <c r="A15" s="131" t="s">
        <v>27</v>
      </c>
      <c r="B15" s="16">
        <v>2010</v>
      </c>
      <c r="C15" s="104"/>
      <c r="D15" s="93"/>
      <c r="E15" s="108"/>
      <c r="F15" s="106"/>
      <c r="G15" s="105"/>
      <c r="H15" s="109"/>
      <c r="I15" s="100"/>
      <c r="J15" s="94"/>
      <c r="K15" s="110"/>
      <c r="L15" s="101"/>
      <c r="M15" s="98"/>
      <c r="N15" s="111"/>
      <c r="O15" s="102"/>
      <c r="P15" s="95"/>
      <c r="Q15" s="112"/>
      <c r="R15" s="82"/>
      <c r="S15" s="115">
        <v>2013</v>
      </c>
      <c r="T15" s="120">
        <f>AVERAGE(E18,E27,E36,E81,E144,E153,E162)</f>
        <v>3.347142857142857</v>
      </c>
      <c r="U15" s="120">
        <f>AVERAGE(H18,H27,H36,E81,H144,H153,H162)</f>
        <v>3.672857142857143</v>
      </c>
      <c r="V15" s="120">
        <f>AVERAGE(K18,K27,K36,E81,K144,K153,K162)</f>
        <v>3.3371428571428572</v>
      </c>
      <c r="W15" s="120">
        <f>AVERAGE(N18,N27,N36,E81,N144,N153,N162)</f>
        <v>3.2942546651823941</v>
      </c>
      <c r="X15" s="120">
        <f>AVERAGE(Q18,Q27,Q36,E81,Q144,Q153,Q162)</f>
        <v>3.4199999999999995</v>
      </c>
      <c r="Y15" s="84"/>
      <c r="Z15" s="82"/>
    </row>
    <row r="16" spans="1:27" x14ac:dyDescent="0.3">
      <c r="A16" s="131" t="s">
        <v>27</v>
      </c>
      <c r="B16" s="53">
        <v>2011</v>
      </c>
      <c r="C16" s="104"/>
      <c r="D16" s="93"/>
      <c r="E16" s="108"/>
      <c r="F16" s="106"/>
      <c r="G16" s="105"/>
      <c r="H16" s="109"/>
      <c r="I16" s="100"/>
      <c r="J16" s="94"/>
      <c r="K16" s="110"/>
      <c r="L16" s="101"/>
      <c r="M16" s="98"/>
      <c r="N16" s="111"/>
      <c r="O16" s="102"/>
      <c r="P16" s="95"/>
      <c r="Q16" s="112"/>
      <c r="R16" s="82"/>
      <c r="S16" s="115">
        <v>2014</v>
      </c>
      <c r="T16" s="120">
        <f>AVERAGE(E19,E28,E37,E82,E145,E154,E163)</f>
        <v>4.1871428571428577</v>
      </c>
      <c r="U16" s="120">
        <f>AVERAGE(H19,H28,H37,E82,H145,H154,H163)</f>
        <v>3.6828571428571428</v>
      </c>
      <c r="V16" s="120">
        <f>AVERAGE(K19,K28,K37,E82,K145,K154,K163)</f>
        <v>3.3428571428571425</v>
      </c>
      <c r="W16" s="120">
        <f>AVERAGE(N19,N28,N37,E82,N145,N154,N163)</f>
        <v>3.87834247249666</v>
      </c>
      <c r="X16" s="120">
        <f>AVERAGE(Q19,Q28,Q37,E82,Q145,Q154,Q163)</f>
        <v>3.6185714285714288</v>
      </c>
      <c r="Y16" s="84"/>
      <c r="Z16" s="82"/>
    </row>
    <row r="17" spans="1:26" x14ac:dyDescent="0.3">
      <c r="A17" s="131" t="s">
        <v>27</v>
      </c>
      <c r="B17" s="16">
        <v>2012</v>
      </c>
      <c r="C17" s="104">
        <v>292</v>
      </c>
      <c r="D17" s="93">
        <f>+C17/E17</f>
        <v>74.300254452926211</v>
      </c>
      <c r="E17" s="108">
        <v>3.93</v>
      </c>
      <c r="F17" s="106">
        <v>257</v>
      </c>
      <c r="G17" s="105">
        <f>+F17/H17</f>
        <v>77.177177177177171</v>
      </c>
      <c r="H17" s="109">
        <v>3.33</v>
      </c>
      <c r="I17" s="100">
        <v>288</v>
      </c>
      <c r="J17" s="94">
        <f>+I17/K17</f>
        <v>79.338842975206617</v>
      </c>
      <c r="K17" s="110">
        <v>3.63</v>
      </c>
      <c r="L17" s="101">
        <f>+O17-C17-F17-I17</f>
        <v>332.12400000000025</v>
      </c>
      <c r="M17" s="98">
        <f>+P17-D17-G17-J17</f>
        <v>81.783725394690052</v>
      </c>
      <c r="N17" s="111">
        <f>+L17/M17</f>
        <v>4.0610035602702439</v>
      </c>
      <c r="O17" s="102">
        <f t="shared" si="1"/>
        <v>1169.1240000000003</v>
      </c>
      <c r="P17" s="95">
        <v>312.60000000000002</v>
      </c>
      <c r="Q17" s="112">
        <v>3.74</v>
      </c>
      <c r="R17" s="82"/>
      <c r="S17" s="115"/>
      <c r="T17" s="82"/>
      <c r="U17" s="82"/>
      <c r="V17" s="82"/>
      <c r="W17" s="82"/>
      <c r="X17" s="82"/>
      <c r="Y17" s="84"/>
      <c r="Z17" s="82"/>
    </row>
    <row r="18" spans="1:26" x14ac:dyDescent="0.3">
      <c r="A18" s="43" t="s">
        <v>27</v>
      </c>
      <c r="B18" s="53">
        <v>2013</v>
      </c>
      <c r="C18" s="104">
        <v>288</v>
      </c>
      <c r="D18" s="96">
        <f>+C18/E18</f>
        <v>76.8</v>
      </c>
      <c r="E18" s="108">
        <v>3.75</v>
      </c>
      <c r="F18" s="106">
        <v>319</v>
      </c>
      <c r="G18" s="107">
        <f>0.860661*91.25</f>
        <v>78.535316249999994</v>
      </c>
      <c r="H18" s="109">
        <v>4.07</v>
      </c>
      <c r="I18" s="100">
        <v>286</v>
      </c>
      <c r="J18" s="97">
        <f>0.830423*91.25</f>
        <v>75.776098750000003</v>
      </c>
      <c r="K18" s="110">
        <v>3.75</v>
      </c>
      <c r="L18" s="101">
        <f>+O18-C18-F18-I18</f>
        <v>202.16799999999989</v>
      </c>
      <c r="M18" s="98">
        <f>+P18-D18-G18-J18</f>
        <v>54.088584999999981</v>
      </c>
      <c r="N18" s="111">
        <f>+L18/M18</f>
        <v>3.7377202601990782</v>
      </c>
      <c r="O18" s="102">
        <f t="shared" si="1"/>
        <v>1095.1679999999999</v>
      </c>
      <c r="P18" s="99">
        <v>285.2</v>
      </c>
      <c r="Q18" s="113">
        <v>3.84</v>
      </c>
      <c r="R18" s="82"/>
      <c r="S18" s="115"/>
      <c r="T18" s="178" t="s">
        <v>21</v>
      </c>
      <c r="U18" s="179" t="s">
        <v>40</v>
      </c>
      <c r="V18" s="178" t="s">
        <v>51</v>
      </c>
      <c r="W18" s="180" t="s">
        <v>63</v>
      </c>
      <c r="X18" s="82"/>
      <c r="Y18" s="84"/>
      <c r="Z18" s="178" t="s">
        <v>181</v>
      </c>
    </row>
    <row r="19" spans="1:26" x14ac:dyDescent="0.3">
      <c r="A19" s="43" t="s">
        <v>27</v>
      </c>
      <c r="B19" s="53">
        <v>2014</v>
      </c>
      <c r="C19" s="104">
        <v>266</v>
      </c>
      <c r="D19" s="96">
        <f>+C19/E19</f>
        <v>53.413654618473892</v>
      </c>
      <c r="E19" s="108">
        <v>4.9800000000000004</v>
      </c>
      <c r="F19" s="106">
        <v>245</v>
      </c>
      <c r="G19" s="107">
        <f>0.59697*91.25</f>
        <v>54.473512499999998</v>
      </c>
      <c r="H19" s="109">
        <v>4.51</v>
      </c>
      <c r="I19" s="100">
        <v>210</v>
      </c>
      <c r="J19" s="97">
        <f>0.579188*91.25</f>
        <v>52.850905000000004</v>
      </c>
      <c r="K19" s="110">
        <v>3.94</v>
      </c>
      <c r="L19" s="101">
        <f>+O19-C19-F19-J19</f>
        <v>370.56309500000009</v>
      </c>
      <c r="M19" s="98">
        <f>+P19-D19-G19-J19</f>
        <v>55.061927881526124</v>
      </c>
      <c r="N19" s="111">
        <f>+L19/M19</f>
        <v>6.7299331726510081</v>
      </c>
      <c r="O19" s="102">
        <f t="shared" si="1"/>
        <v>934.4140000000001</v>
      </c>
      <c r="P19" s="99">
        <v>215.8</v>
      </c>
      <c r="Q19" s="113">
        <v>4.33</v>
      </c>
      <c r="R19" s="115" t="s">
        <v>177</v>
      </c>
      <c r="S19" s="115"/>
      <c r="T19" s="180" t="s">
        <v>27</v>
      </c>
      <c r="U19" s="179" t="s">
        <v>42</v>
      </c>
      <c r="V19" s="178" t="s">
        <v>54</v>
      </c>
      <c r="W19" s="180" t="s">
        <v>67</v>
      </c>
      <c r="X19" s="82"/>
      <c r="Y19" s="84"/>
      <c r="Z19" s="180" t="s">
        <v>180</v>
      </c>
    </row>
    <row r="20" spans="1:26" x14ac:dyDescent="0.3">
      <c r="A20" s="41" t="s">
        <v>27</v>
      </c>
      <c r="B20" s="42">
        <v>2015</v>
      </c>
      <c r="C20" s="188">
        <f>+D20*E20</f>
        <v>104.590872275</v>
      </c>
      <c r="D20" s="183">
        <f>0.435818*91.25</f>
        <v>39.768392499999997</v>
      </c>
      <c r="E20" s="189">
        <v>2.63</v>
      </c>
      <c r="F20" s="190">
        <f>+G20*H20</f>
        <v>90.10038505</v>
      </c>
      <c r="G20" s="184">
        <f>0.446788*91.25</f>
        <v>40.769404999999999</v>
      </c>
      <c r="H20" s="191">
        <v>2.21</v>
      </c>
      <c r="I20" s="192">
        <f>+J20*K20</f>
        <v>104.4141109875</v>
      </c>
      <c r="J20" s="185">
        <f>0.445239*91.25</f>
        <v>40.628058750000001</v>
      </c>
      <c r="K20" s="193">
        <v>2.57</v>
      </c>
      <c r="L20" s="194">
        <f>+O20-C20-F20-J20</f>
        <v>146.90868392499996</v>
      </c>
      <c r="M20" s="186">
        <f>+P20-D20-G20-J20</f>
        <v>39.434143749999983</v>
      </c>
      <c r="N20" s="195">
        <f>+L20/M20</f>
        <v>3.7254183799794061</v>
      </c>
      <c r="O20" s="196">
        <f>+P20*Q20</f>
        <v>382.22799999999995</v>
      </c>
      <c r="P20" s="187">
        <v>160.6</v>
      </c>
      <c r="Q20" s="197">
        <v>2.38</v>
      </c>
      <c r="R20" s="82"/>
      <c r="S20" s="115"/>
      <c r="T20" s="180" t="s">
        <v>31</v>
      </c>
      <c r="U20" s="180" t="s">
        <v>44</v>
      </c>
      <c r="V20" s="179" t="s">
        <v>56</v>
      </c>
      <c r="W20" s="180" t="s">
        <v>69</v>
      </c>
      <c r="X20" s="82"/>
      <c r="Y20" s="84"/>
      <c r="Z20" s="179" t="s">
        <v>179</v>
      </c>
    </row>
    <row r="21" spans="1:26" x14ac:dyDescent="0.3">
      <c r="A21" s="131" t="s">
        <v>31</v>
      </c>
      <c r="B21" s="82">
        <v>2007</v>
      </c>
      <c r="C21" s="104"/>
      <c r="D21" s="93"/>
      <c r="E21" s="108"/>
      <c r="F21" s="106"/>
      <c r="G21" s="105"/>
      <c r="H21" s="109"/>
      <c r="I21" s="100"/>
      <c r="J21" s="94"/>
      <c r="K21" s="110"/>
      <c r="L21" s="101"/>
      <c r="M21" s="98"/>
      <c r="N21" s="111"/>
      <c r="O21" s="102"/>
      <c r="P21" s="95"/>
      <c r="Q21" s="112"/>
      <c r="R21" s="82"/>
      <c r="S21" s="115"/>
      <c r="T21" s="180" t="s">
        <v>36</v>
      </c>
      <c r="U21" s="178" t="s">
        <v>48</v>
      </c>
      <c r="V21" s="179" t="s">
        <v>59</v>
      </c>
      <c r="W21" s="82"/>
      <c r="X21" s="82"/>
      <c r="Y21" s="84"/>
      <c r="Z21" s="82"/>
    </row>
    <row r="22" spans="1:26" x14ac:dyDescent="0.3">
      <c r="A22" s="131" t="s">
        <v>31</v>
      </c>
      <c r="B22" s="16">
        <v>2008</v>
      </c>
      <c r="C22" s="104"/>
      <c r="D22" s="93"/>
      <c r="E22" s="108"/>
      <c r="F22" s="106"/>
      <c r="G22" s="105"/>
      <c r="H22" s="109"/>
      <c r="I22" s="100"/>
      <c r="J22" s="94"/>
      <c r="K22" s="110"/>
      <c r="L22" s="101"/>
      <c r="M22" s="98"/>
      <c r="N22" s="111"/>
      <c r="O22" s="102"/>
      <c r="P22" s="95"/>
      <c r="Q22" s="112"/>
      <c r="R22" s="82"/>
      <c r="S22" s="115"/>
      <c r="T22" s="82"/>
      <c r="U22" s="82"/>
      <c r="V22" s="82"/>
      <c r="W22" s="82"/>
      <c r="X22" s="82"/>
      <c r="Y22" s="84"/>
      <c r="Z22" s="82"/>
    </row>
    <row r="23" spans="1:26" x14ac:dyDescent="0.3">
      <c r="A23" s="131" t="s">
        <v>31</v>
      </c>
      <c r="B23" s="53">
        <v>2009</v>
      </c>
      <c r="C23" s="104"/>
      <c r="D23" s="93"/>
      <c r="E23" s="108"/>
      <c r="F23" s="106"/>
      <c r="G23" s="105"/>
      <c r="H23" s="109"/>
      <c r="I23" s="100"/>
      <c r="J23" s="94"/>
      <c r="K23" s="110"/>
      <c r="L23" s="101"/>
      <c r="M23" s="98"/>
      <c r="N23" s="111"/>
      <c r="O23" s="102"/>
      <c r="P23" s="95"/>
      <c r="Q23" s="112"/>
      <c r="R23" s="82"/>
      <c r="S23" s="115"/>
      <c r="T23" s="82"/>
      <c r="U23" s="82"/>
      <c r="V23" s="82"/>
      <c r="W23" s="82"/>
      <c r="X23" s="82"/>
      <c r="Y23" s="84"/>
      <c r="Z23" s="82"/>
    </row>
    <row r="24" spans="1:26" x14ac:dyDescent="0.3">
      <c r="A24" s="131" t="s">
        <v>31</v>
      </c>
      <c r="B24" s="16">
        <v>2010</v>
      </c>
      <c r="C24" s="104"/>
      <c r="D24" s="93"/>
      <c r="E24" s="108"/>
      <c r="F24" s="106"/>
      <c r="G24" s="105"/>
      <c r="H24" s="109"/>
      <c r="I24" s="100"/>
      <c r="J24" s="94"/>
      <c r="K24" s="110"/>
      <c r="L24" s="101"/>
      <c r="M24" s="98"/>
      <c r="N24" s="111"/>
      <c r="O24" s="102"/>
      <c r="P24" s="95"/>
      <c r="Q24" s="112"/>
      <c r="R24" s="82"/>
      <c r="S24" s="115"/>
      <c r="T24" s="82"/>
      <c r="U24" s="82"/>
      <c r="V24" s="82"/>
      <c r="W24" s="82"/>
      <c r="X24" s="82"/>
      <c r="Y24" s="84"/>
      <c r="Z24" s="82"/>
    </row>
    <row r="25" spans="1:26" x14ac:dyDescent="0.3">
      <c r="A25" s="131" t="s">
        <v>31</v>
      </c>
      <c r="B25" s="53">
        <v>2011</v>
      </c>
      <c r="C25" s="104"/>
      <c r="D25" s="93"/>
      <c r="E25" s="108"/>
      <c r="F25" s="106"/>
      <c r="G25" s="105"/>
      <c r="H25" s="109"/>
      <c r="I25" s="100"/>
      <c r="J25" s="94"/>
      <c r="K25" s="110"/>
      <c r="L25" s="101"/>
      <c r="M25" s="98"/>
      <c r="N25" s="111"/>
      <c r="O25" s="102"/>
      <c r="P25" s="95"/>
      <c r="Q25" s="112"/>
      <c r="R25" s="176"/>
      <c r="S25" s="181"/>
      <c r="T25" s="82"/>
      <c r="U25" s="82"/>
      <c r="V25" s="82"/>
      <c r="W25" s="82"/>
      <c r="X25" s="82"/>
      <c r="Y25" s="84"/>
      <c r="Z25" s="82"/>
    </row>
    <row r="26" spans="1:26" x14ac:dyDescent="0.3">
      <c r="A26" s="131" t="s">
        <v>31</v>
      </c>
      <c r="B26" s="16">
        <v>2012</v>
      </c>
      <c r="C26" s="104">
        <f>+D26*E26</f>
        <v>205.85999999999999</v>
      </c>
      <c r="D26" s="93">
        <v>56.4</v>
      </c>
      <c r="E26" s="108">
        <v>3.65</v>
      </c>
      <c r="F26" s="106">
        <f>+G26*H26</f>
        <v>200.68800000000002</v>
      </c>
      <c r="G26" s="105">
        <v>59.2</v>
      </c>
      <c r="H26" s="109">
        <v>3.39</v>
      </c>
      <c r="I26" s="100">
        <f>+J26*K26</f>
        <v>230.73600000000002</v>
      </c>
      <c r="J26" s="94">
        <v>62.7</v>
      </c>
      <c r="K26" s="110">
        <v>3.68</v>
      </c>
      <c r="L26" s="101">
        <f t="shared" ref="L26:M28" si="2">+O26-C26-F26-I26</f>
        <v>291.95999999999992</v>
      </c>
      <c r="M26" s="98">
        <f t="shared" si="2"/>
        <v>74.899999999999963</v>
      </c>
      <c r="N26" s="111">
        <f>+L26/M26</f>
        <v>3.8979973297730317</v>
      </c>
      <c r="O26" s="102">
        <f>+P26*Q26</f>
        <v>929.24399999999991</v>
      </c>
      <c r="P26" s="95">
        <v>253.2</v>
      </c>
      <c r="Q26" s="112">
        <v>3.67</v>
      </c>
      <c r="R26" s="176"/>
      <c r="S26" s="181"/>
      <c r="T26" s="82"/>
      <c r="U26" s="82"/>
      <c r="V26" s="82"/>
      <c r="W26" s="82"/>
      <c r="X26" s="82"/>
      <c r="Y26" s="84"/>
      <c r="Z26" s="82"/>
    </row>
    <row r="27" spans="1:26" x14ac:dyDescent="0.3">
      <c r="A27" s="43" t="s">
        <v>31</v>
      </c>
      <c r="B27" s="53">
        <v>2013</v>
      </c>
      <c r="C27" s="104">
        <f>+D27*E27</f>
        <v>293.94</v>
      </c>
      <c r="D27" s="96">
        <v>85.2</v>
      </c>
      <c r="E27" s="108">
        <v>3.45</v>
      </c>
      <c r="F27" s="106">
        <f>+G27*H27</f>
        <v>368.24199999999996</v>
      </c>
      <c r="G27" s="107">
        <v>90.7</v>
      </c>
      <c r="H27" s="109">
        <v>4.0599999999999996</v>
      </c>
      <c r="I27" s="100">
        <f>+J27*K27</f>
        <v>341.71199999999999</v>
      </c>
      <c r="J27" s="97">
        <v>101.7</v>
      </c>
      <c r="K27" s="110">
        <v>3.36</v>
      </c>
      <c r="L27" s="101">
        <f t="shared" si="2"/>
        <v>399.45800000000008</v>
      </c>
      <c r="M27" s="98">
        <f t="shared" si="2"/>
        <v>116.60000000000001</v>
      </c>
      <c r="N27" s="111">
        <f>+L27/M27</f>
        <v>3.4258833619210982</v>
      </c>
      <c r="O27" s="102">
        <f>+P27*Q27</f>
        <v>1403.3520000000001</v>
      </c>
      <c r="P27" s="99">
        <v>394.2</v>
      </c>
      <c r="Q27" s="113">
        <v>3.56</v>
      </c>
      <c r="R27" s="115" t="s">
        <v>177</v>
      </c>
      <c r="S27" s="181"/>
      <c r="T27" s="82"/>
      <c r="U27" s="82"/>
      <c r="V27" s="82"/>
      <c r="W27" s="82"/>
      <c r="X27" s="82"/>
      <c r="Y27" s="84"/>
      <c r="Z27" s="82"/>
    </row>
    <row r="28" spans="1:26" x14ac:dyDescent="0.3">
      <c r="A28" s="43" t="s">
        <v>31</v>
      </c>
      <c r="B28" s="53">
        <v>2014</v>
      </c>
      <c r="C28" s="104">
        <f>+D28*E28</f>
        <v>433.09200000000004</v>
      </c>
      <c r="D28" s="96">
        <v>115.8</v>
      </c>
      <c r="E28" s="108">
        <v>3.74</v>
      </c>
      <c r="F28" s="106">
        <f>+G28*H28</f>
        <v>437.62099999999998</v>
      </c>
      <c r="G28" s="107">
        <v>121.9</v>
      </c>
      <c r="H28" s="109">
        <v>3.59</v>
      </c>
      <c r="I28" s="100">
        <f>+J28*K28</f>
        <v>348.42500000000001</v>
      </c>
      <c r="J28" s="97">
        <v>126.7</v>
      </c>
      <c r="K28" s="110">
        <v>2.75</v>
      </c>
      <c r="L28" s="101">
        <f t="shared" si="2"/>
        <v>370.90199999999987</v>
      </c>
      <c r="M28" s="98">
        <f t="shared" si="2"/>
        <v>143.59999999999997</v>
      </c>
      <c r="N28" s="111">
        <f>+L28/M28</f>
        <v>2.5828830083565455</v>
      </c>
      <c r="O28" s="102">
        <f>+P28*Q28</f>
        <v>1590.04</v>
      </c>
      <c r="P28" s="99">
        <v>508</v>
      </c>
      <c r="Q28" s="113">
        <v>3.13</v>
      </c>
      <c r="R28" s="82"/>
      <c r="S28" s="115"/>
      <c r="T28" s="82"/>
      <c r="U28" s="82"/>
      <c r="V28" s="82"/>
      <c r="W28" s="82"/>
      <c r="X28" s="82"/>
      <c r="Y28" s="84"/>
      <c r="Z28" s="82"/>
    </row>
    <row r="29" spans="1:26" x14ac:dyDescent="0.3">
      <c r="A29" s="41" t="s">
        <v>31</v>
      </c>
      <c r="B29" s="42">
        <v>2015</v>
      </c>
      <c r="C29" s="188">
        <f>+D29*E29</f>
        <v>360.81400000000002</v>
      </c>
      <c r="D29" s="183">
        <v>161.80000000000001</v>
      </c>
      <c r="E29" s="189">
        <v>2.23</v>
      </c>
      <c r="F29" s="190">
        <f>+G29*H29</f>
        <v>224.70000000000002</v>
      </c>
      <c r="G29" s="184">
        <v>128.4</v>
      </c>
      <c r="H29" s="191">
        <v>1.75</v>
      </c>
      <c r="I29" s="192">
        <f>+J29*K29</f>
        <v>223.44</v>
      </c>
      <c r="J29" s="185">
        <v>133</v>
      </c>
      <c r="K29" s="193">
        <v>1.68</v>
      </c>
      <c r="L29" s="194">
        <f>+O29-C29-F29-I29</f>
        <v>216.08999999999997</v>
      </c>
      <c r="M29" s="186">
        <f>+P29-D29-G29-J29</f>
        <v>142.79999999999995</v>
      </c>
      <c r="N29" s="195">
        <f>+L29/M29</f>
        <v>1.5132352941176475</v>
      </c>
      <c r="O29" s="196">
        <v>1025.0440000000001</v>
      </c>
      <c r="P29" s="187">
        <v>566</v>
      </c>
      <c r="Q29" s="197">
        <v>1.81</v>
      </c>
      <c r="R29" s="82"/>
      <c r="S29" s="115"/>
      <c r="T29" s="82"/>
      <c r="U29" s="82"/>
      <c r="V29" s="82"/>
      <c r="W29" s="82"/>
      <c r="X29" s="82"/>
      <c r="Y29" s="84"/>
      <c r="Z29" s="82"/>
    </row>
    <row r="30" spans="1:26" x14ac:dyDescent="0.3">
      <c r="A30" s="131" t="s">
        <v>36</v>
      </c>
      <c r="B30" s="82">
        <v>2007</v>
      </c>
      <c r="C30" s="104"/>
      <c r="D30" s="93"/>
      <c r="E30" s="108"/>
      <c r="F30" s="106"/>
      <c r="G30" s="105"/>
      <c r="H30" s="109"/>
      <c r="I30" s="100"/>
      <c r="J30" s="94"/>
      <c r="K30" s="110"/>
      <c r="L30" s="101"/>
      <c r="M30" s="98"/>
      <c r="N30" s="111"/>
      <c r="O30" s="102"/>
      <c r="P30" s="95"/>
      <c r="Q30" s="112"/>
      <c r="R30" s="82"/>
      <c r="S30" s="115"/>
      <c r="T30" s="82"/>
      <c r="U30" s="82"/>
      <c r="V30" s="82"/>
      <c r="W30" s="82"/>
      <c r="X30" s="82"/>
      <c r="Y30" s="84"/>
      <c r="Z30" s="82"/>
    </row>
    <row r="31" spans="1:26" x14ac:dyDescent="0.3">
      <c r="A31" s="131" t="s">
        <v>36</v>
      </c>
      <c r="B31" s="16">
        <v>2008</v>
      </c>
      <c r="C31" s="104"/>
      <c r="D31" s="93"/>
      <c r="E31" s="108"/>
      <c r="F31" s="106"/>
      <c r="G31" s="105"/>
      <c r="H31" s="109"/>
      <c r="I31" s="100"/>
      <c r="J31" s="94"/>
      <c r="K31" s="110"/>
      <c r="L31" s="101"/>
      <c r="M31" s="98"/>
      <c r="N31" s="111"/>
      <c r="O31" s="102"/>
      <c r="P31" s="95"/>
      <c r="Q31" s="112"/>
      <c r="R31" s="82"/>
      <c r="S31" s="115"/>
      <c r="T31" s="82"/>
      <c r="U31" s="82"/>
      <c r="V31" s="82"/>
      <c r="W31" s="82"/>
      <c r="X31" s="82"/>
      <c r="Y31" s="84"/>
      <c r="Z31" s="82"/>
    </row>
    <row r="32" spans="1:26" x14ac:dyDescent="0.3">
      <c r="A32" s="131" t="s">
        <v>36</v>
      </c>
      <c r="B32" s="53">
        <v>2009</v>
      </c>
      <c r="C32" s="104"/>
      <c r="D32" s="93"/>
      <c r="E32" s="108"/>
      <c r="F32" s="106"/>
      <c r="G32" s="105"/>
      <c r="H32" s="109"/>
      <c r="I32" s="100"/>
      <c r="J32" s="94"/>
      <c r="K32" s="110"/>
      <c r="L32" s="101"/>
      <c r="M32" s="98"/>
      <c r="N32" s="111"/>
      <c r="O32" s="102"/>
      <c r="P32" s="95"/>
      <c r="Q32" s="112"/>
      <c r="R32" s="82"/>
      <c r="S32" s="115"/>
      <c r="T32" s="82"/>
      <c r="U32" s="82"/>
      <c r="V32" s="82"/>
      <c r="W32" s="82"/>
      <c r="X32" s="82"/>
      <c r="Y32" s="84"/>
      <c r="Z32" s="82"/>
    </row>
    <row r="33" spans="1:26" x14ac:dyDescent="0.3">
      <c r="A33" s="131" t="s">
        <v>36</v>
      </c>
      <c r="B33" s="16">
        <v>2010</v>
      </c>
      <c r="C33" s="104"/>
      <c r="D33" s="93"/>
      <c r="E33" s="108"/>
      <c r="F33" s="106"/>
      <c r="G33" s="105"/>
      <c r="H33" s="109"/>
      <c r="I33" s="100"/>
      <c r="J33" s="94"/>
      <c r="K33" s="110"/>
      <c r="L33" s="101"/>
      <c r="M33" s="98"/>
      <c r="N33" s="111"/>
      <c r="O33" s="102"/>
      <c r="P33" s="95"/>
      <c r="Q33" s="112"/>
      <c r="R33" s="82"/>
      <c r="S33" s="115"/>
      <c r="T33" s="82"/>
      <c r="U33" s="82"/>
      <c r="V33" s="82"/>
      <c r="W33" s="82"/>
      <c r="X33" s="82"/>
      <c r="Y33" s="84"/>
      <c r="Z33" s="82"/>
    </row>
    <row r="34" spans="1:26" x14ac:dyDescent="0.3">
      <c r="A34" s="131" t="s">
        <v>36</v>
      </c>
      <c r="B34" s="53">
        <v>2011</v>
      </c>
      <c r="C34" s="104"/>
      <c r="D34" s="93"/>
      <c r="E34" s="108"/>
      <c r="F34" s="106"/>
      <c r="G34" s="105"/>
      <c r="H34" s="109"/>
      <c r="I34" s="100"/>
      <c r="J34" s="94"/>
      <c r="K34" s="110"/>
      <c r="L34" s="101"/>
      <c r="M34" s="98"/>
      <c r="N34" s="111"/>
      <c r="O34" s="102"/>
      <c r="P34" s="95"/>
      <c r="Q34" s="112"/>
      <c r="R34" s="82"/>
      <c r="S34" s="115"/>
      <c r="T34" s="82"/>
      <c r="U34" s="82"/>
      <c r="V34" s="82"/>
      <c r="W34" s="82"/>
      <c r="X34" s="82"/>
      <c r="Y34" s="84"/>
      <c r="Z34" s="82"/>
    </row>
    <row r="35" spans="1:26" x14ac:dyDescent="0.3">
      <c r="A35" s="131" t="s">
        <v>36</v>
      </c>
      <c r="B35" s="16">
        <v>2012</v>
      </c>
      <c r="C35" s="104">
        <v>489</v>
      </c>
      <c r="D35" s="93">
        <f>+C35/E35</f>
        <v>208.08510638297872</v>
      </c>
      <c r="E35" s="108">
        <v>2.35</v>
      </c>
      <c r="F35" s="106">
        <v>354</v>
      </c>
      <c r="G35" s="105">
        <f>+F35/H35</f>
        <v>188.29787234042556</v>
      </c>
      <c r="H35" s="109">
        <v>1.88</v>
      </c>
      <c r="I35" s="100">
        <v>505</v>
      </c>
      <c r="J35" s="94">
        <f>+I35/K35</f>
        <v>256.34517766497464</v>
      </c>
      <c r="K35" s="110">
        <v>1.97</v>
      </c>
      <c r="L35" s="101">
        <f t="shared" ref="L35:M38" si="3">+O35-C35-F35-I35</f>
        <v>653</v>
      </c>
      <c r="M35" s="98">
        <f t="shared" si="3"/>
        <v>313.93851027828788</v>
      </c>
      <c r="N35" s="111">
        <f>+L35/M35</f>
        <v>2.0800251597714285</v>
      </c>
      <c r="O35" s="102">
        <v>2001</v>
      </c>
      <c r="P35" s="95">
        <f>+O35/Q35</f>
        <v>966.66666666666674</v>
      </c>
      <c r="Q35" s="112">
        <v>2.0699999999999998</v>
      </c>
      <c r="R35" s="82"/>
      <c r="S35" s="115"/>
      <c r="T35" s="82"/>
      <c r="U35" s="82"/>
      <c r="V35" s="82"/>
      <c r="W35" s="82"/>
      <c r="X35" s="82"/>
      <c r="Y35" s="84"/>
      <c r="Z35" s="82"/>
    </row>
    <row r="36" spans="1:26" x14ac:dyDescent="0.3">
      <c r="A36" s="43" t="s">
        <v>36</v>
      </c>
      <c r="B36" s="53">
        <v>2013</v>
      </c>
      <c r="C36" s="104">
        <v>303</v>
      </c>
      <c r="D36" s="96">
        <f>+C36/E36</f>
        <v>142.25352112676057</v>
      </c>
      <c r="E36" s="108">
        <v>2.13</v>
      </c>
      <c r="F36" s="106">
        <v>1073</v>
      </c>
      <c r="G36" s="107">
        <f>+F36/H36</f>
        <v>409.5419847328244</v>
      </c>
      <c r="H36" s="109">
        <v>2.62</v>
      </c>
      <c r="I36" s="100">
        <v>624</v>
      </c>
      <c r="J36" s="97">
        <f>+I36/K36</f>
        <v>276.10619469026551</v>
      </c>
      <c r="K36" s="110">
        <v>2.2599999999999998</v>
      </c>
      <c r="L36" s="101">
        <f t="shared" si="3"/>
        <v>387</v>
      </c>
      <c r="M36" s="98">
        <f t="shared" si="3"/>
        <v>242.50188689409572</v>
      </c>
      <c r="N36" s="111">
        <f>+L36/M36</f>
        <v>1.5958638712325106</v>
      </c>
      <c r="O36" s="102">
        <v>2387</v>
      </c>
      <c r="P36" s="99">
        <f>+O36/Q36</f>
        <v>1070.4035874439462</v>
      </c>
      <c r="Q36" s="113">
        <v>2.23</v>
      </c>
      <c r="R36" s="115" t="s">
        <v>177</v>
      </c>
      <c r="S36" s="115"/>
      <c r="T36" s="82"/>
      <c r="U36" s="82"/>
      <c r="V36" s="82"/>
      <c r="W36" s="82"/>
      <c r="X36" s="82"/>
      <c r="Y36" s="84"/>
      <c r="Z36" s="82"/>
    </row>
    <row r="37" spans="1:26" x14ac:dyDescent="0.3">
      <c r="A37" s="43" t="s">
        <v>36</v>
      </c>
      <c r="B37" s="53">
        <v>2014</v>
      </c>
      <c r="C37" s="104">
        <v>697</v>
      </c>
      <c r="D37" s="96">
        <f>+C37/E37</f>
        <v>213.14984709480123</v>
      </c>
      <c r="E37" s="108">
        <v>3.27</v>
      </c>
      <c r="F37" s="106">
        <v>777</v>
      </c>
      <c r="G37" s="107">
        <f>+F37/H37</f>
        <v>317.14285714285711</v>
      </c>
      <c r="H37" s="109">
        <v>2.4500000000000002</v>
      </c>
      <c r="I37" s="100">
        <v>754</v>
      </c>
      <c r="J37" s="97">
        <f>+I37/K37</f>
        <v>360.76555023923447</v>
      </c>
      <c r="K37" s="110">
        <v>2.09</v>
      </c>
      <c r="L37" s="101">
        <f t="shared" si="3"/>
        <v>893</v>
      </c>
      <c r="M37" s="98">
        <f t="shared" si="3"/>
        <v>431.39937264175114</v>
      </c>
      <c r="N37" s="111">
        <f>+L37/M37</f>
        <v>2.0700076463522765</v>
      </c>
      <c r="O37" s="102">
        <v>3121</v>
      </c>
      <c r="P37" s="99">
        <f>+O37/Q37</f>
        <v>1322.457627118644</v>
      </c>
      <c r="Q37" s="113">
        <v>2.36</v>
      </c>
      <c r="R37" s="115"/>
      <c r="S37" s="115"/>
      <c r="T37" s="82"/>
      <c r="U37" s="82"/>
      <c r="V37" s="82"/>
      <c r="W37" s="82"/>
      <c r="X37" s="82"/>
      <c r="Y37" s="84"/>
      <c r="Z37" s="82"/>
    </row>
    <row r="38" spans="1:26" x14ac:dyDescent="0.3">
      <c r="A38" s="41" t="s">
        <v>36</v>
      </c>
      <c r="B38" s="42">
        <v>2015</v>
      </c>
      <c r="C38" s="188">
        <f>+D38*E38</f>
        <v>625.20600000000002</v>
      </c>
      <c r="D38" s="183">
        <v>263.8</v>
      </c>
      <c r="E38" s="189">
        <v>2.37</v>
      </c>
      <c r="F38" s="190">
        <f>+G38*H38</f>
        <v>278.154</v>
      </c>
      <c r="G38" s="184">
        <v>275.39999999999998</v>
      </c>
      <c r="H38" s="191">
        <v>1.01</v>
      </c>
      <c r="I38" s="192">
        <f>+J38*K38</f>
        <v>299.82</v>
      </c>
      <c r="J38" s="185">
        <v>263</v>
      </c>
      <c r="K38" s="193">
        <v>1.1399999999999999</v>
      </c>
      <c r="L38" s="194">
        <f t="shared" si="3"/>
        <v>1707.22</v>
      </c>
      <c r="M38" s="186">
        <f t="shared" si="3"/>
        <v>267.80000000000007</v>
      </c>
      <c r="N38" s="195">
        <f>+L38/M38</f>
        <v>6.37498132935026</v>
      </c>
      <c r="O38" s="196">
        <f>+P38*Q38</f>
        <v>2910.4</v>
      </c>
      <c r="P38" s="187">
        <v>1070</v>
      </c>
      <c r="Q38" s="197">
        <v>2.72</v>
      </c>
      <c r="R38" s="115"/>
      <c r="S38" s="115"/>
      <c r="T38" s="82"/>
      <c r="U38" s="82"/>
      <c r="V38" s="82"/>
      <c r="W38" s="82"/>
      <c r="X38" s="82"/>
      <c r="Y38" s="84"/>
      <c r="Z38" s="82"/>
    </row>
    <row r="39" spans="1:26" x14ac:dyDescent="0.3">
      <c r="A39" s="43" t="s">
        <v>309</v>
      </c>
      <c r="B39" s="82">
        <v>2007</v>
      </c>
      <c r="C39" s="236"/>
      <c r="D39" s="237"/>
      <c r="E39" s="238"/>
      <c r="F39" s="239"/>
      <c r="G39" s="240"/>
      <c r="H39" s="241"/>
      <c r="I39" s="242"/>
      <c r="J39" s="243"/>
      <c r="K39" s="244"/>
      <c r="L39" s="245"/>
      <c r="M39" s="246"/>
      <c r="N39" s="247"/>
      <c r="O39" s="248"/>
      <c r="P39" s="249"/>
      <c r="Q39" s="250"/>
      <c r="R39" s="82"/>
      <c r="S39" s="115"/>
      <c r="T39" s="82"/>
      <c r="U39" s="82"/>
      <c r="V39" s="82"/>
      <c r="W39" s="82"/>
      <c r="X39" s="82"/>
      <c r="Y39" s="84"/>
      <c r="Z39" s="82"/>
    </row>
    <row r="40" spans="1:26" x14ac:dyDescent="0.3">
      <c r="A40" s="43" t="s">
        <v>309</v>
      </c>
      <c r="B40" s="16">
        <v>2008</v>
      </c>
      <c r="C40" s="236"/>
      <c r="D40" s="237"/>
      <c r="E40" s="238"/>
      <c r="F40" s="239"/>
      <c r="G40" s="240"/>
      <c r="H40" s="241"/>
      <c r="I40" s="242"/>
      <c r="J40" s="243"/>
      <c r="K40" s="244"/>
      <c r="L40" s="245"/>
      <c r="M40" s="246"/>
      <c r="N40" s="247"/>
      <c r="O40" s="248"/>
      <c r="P40" s="249"/>
      <c r="Q40" s="250"/>
      <c r="R40" s="82"/>
      <c r="S40" s="115"/>
      <c r="T40" s="82"/>
      <c r="U40" s="82"/>
      <c r="V40" s="82"/>
      <c r="W40" s="82"/>
      <c r="X40" s="82"/>
      <c r="Y40" s="84"/>
      <c r="Z40" s="82"/>
    </row>
    <row r="41" spans="1:26" x14ac:dyDescent="0.3">
      <c r="A41" s="43" t="s">
        <v>309</v>
      </c>
      <c r="B41" s="53">
        <v>2009</v>
      </c>
      <c r="C41" s="236"/>
      <c r="D41" s="237"/>
      <c r="E41" s="238"/>
      <c r="F41" s="239"/>
      <c r="G41" s="240"/>
      <c r="H41" s="241"/>
      <c r="I41" s="242"/>
      <c r="J41" s="243"/>
      <c r="K41" s="244"/>
      <c r="L41" s="245"/>
      <c r="M41" s="246"/>
      <c r="N41" s="247"/>
      <c r="O41" s="248"/>
      <c r="P41" s="249"/>
      <c r="Q41" s="250"/>
      <c r="R41" s="82"/>
      <c r="S41" s="115"/>
      <c r="T41" s="82"/>
      <c r="U41" s="82"/>
      <c r="V41" s="82"/>
      <c r="W41" s="82"/>
      <c r="X41" s="82"/>
      <c r="Y41" s="84"/>
      <c r="Z41" s="82"/>
    </row>
    <row r="42" spans="1:26" x14ac:dyDescent="0.3">
      <c r="A42" s="43" t="s">
        <v>309</v>
      </c>
      <c r="B42" s="16">
        <v>2010</v>
      </c>
      <c r="C42" s="236"/>
      <c r="D42" s="237"/>
      <c r="E42" s="238"/>
      <c r="F42" s="239"/>
      <c r="G42" s="240"/>
      <c r="H42" s="241"/>
      <c r="I42" s="242"/>
      <c r="J42" s="243"/>
      <c r="K42" s="244"/>
      <c r="L42" s="245"/>
      <c r="M42" s="246"/>
      <c r="N42" s="247"/>
      <c r="O42" s="248"/>
      <c r="P42" s="249"/>
      <c r="Q42" s="250"/>
      <c r="R42" s="82"/>
      <c r="S42" s="115"/>
      <c r="T42" s="82"/>
      <c r="U42" s="82"/>
      <c r="V42" s="82"/>
      <c r="W42" s="82"/>
      <c r="X42" s="82"/>
      <c r="Y42" s="84"/>
      <c r="Z42" s="82"/>
    </row>
    <row r="43" spans="1:26" x14ac:dyDescent="0.3">
      <c r="A43" s="43" t="s">
        <v>309</v>
      </c>
      <c r="B43" s="53">
        <v>2011</v>
      </c>
      <c r="C43" s="236"/>
      <c r="D43" s="237"/>
      <c r="E43" s="238"/>
      <c r="F43" s="239"/>
      <c r="G43" s="240"/>
      <c r="H43" s="241"/>
      <c r="I43" s="242"/>
      <c r="J43" s="243"/>
      <c r="K43" s="244"/>
      <c r="L43" s="245"/>
      <c r="M43" s="246"/>
      <c r="N43" s="247"/>
      <c r="O43" s="248"/>
      <c r="P43" s="248"/>
      <c r="Q43" s="250"/>
      <c r="R43" s="82"/>
      <c r="S43" s="115"/>
      <c r="T43" s="82"/>
      <c r="U43" s="82"/>
      <c r="V43" s="82"/>
      <c r="W43" s="82"/>
      <c r="X43" s="82"/>
      <c r="Y43" s="84"/>
      <c r="Z43" s="82"/>
    </row>
    <row r="44" spans="1:26" x14ac:dyDescent="0.3">
      <c r="A44" s="43" t="s">
        <v>309</v>
      </c>
      <c r="B44" s="16">
        <v>2012</v>
      </c>
      <c r="C44" s="236"/>
      <c r="D44" s="237"/>
      <c r="E44" s="238"/>
      <c r="F44" s="239"/>
      <c r="G44" s="240"/>
      <c r="H44" s="241"/>
      <c r="I44" s="242"/>
      <c r="J44" s="243"/>
      <c r="K44" s="244"/>
      <c r="L44" s="245"/>
      <c r="M44" s="246"/>
      <c r="N44" s="247"/>
      <c r="O44" s="248">
        <f>+P44*Q44</f>
        <v>337.72791000000001</v>
      </c>
      <c r="P44" s="248">
        <v>66.613</v>
      </c>
      <c r="Q44" s="250">
        <v>5.07</v>
      </c>
      <c r="R44" s="82" t="s">
        <v>311</v>
      </c>
      <c r="S44" s="115"/>
      <c r="T44" s="82"/>
      <c r="U44" s="82"/>
      <c r="V44" s="82"/>
      <c r="W44" s="82"/>
      <c r="X44" s="82"/>
      <c r="Y44" s="84"/>
      <c r="Z44" s="82"/>
    </row>
    <row r="45" spans="1:26" x14ac:dyDescent="0.3">
      <c r="A45" s="43" t="s">
        <v>309</v>
      </c>
      <c r="B45" s="53">
        <v>2013</v>
      </c>
      <c r="C45" s="236"/>
      <c r="D45" s="237"/>
      <c r="E45" s="238"/>
      <c r="F45" s="239"/>
      <c r="G45" s="240"/>
      <c r="H45" s="241"/>
      <c r="I45" s="242"/>
      <c r="J45" s="243"/>
      <c r="K45" s="244"/>
      <c r="L45" s="245"/>
      <c r="M45" s="246"/>
      <c r="N45" s="247"/>
      <c r="O45" s="248">
        <f>+P45*Q45</f>
        <v>391.03134</v>
      </c>
      <c r="P45" s="248">
        <v>75.054000000000002</v>
      </c>
      <c r="Q45" s="250">
        <v>5.21</v>
      </c>
      <c r="R45" s="82" t="s">
        <v>310</v>
      </c>
      <c r="S45" s="115"/>
      <c r="T45" s="82"/>
      <c r="U45" s="82"/>
      <c r="V45" s="82"/>
      <c r="W45" s="82"/>
      <c r="X45" s="82"/>
      <c r="Y45" s="84"/>
      <c r="Z45" s="82"/>
    </row>
    <row r="46" spans="1:26" x14ac:dyDescent="0.3">
      <c r="A46" s="43" t="s">
        <v>309</v>
      </c>
      <c r="B46" s="53">
        <v>2014</v>
      </c>
      <c r="C46" s="236"/>
      <c r="D46" s="237"/>
      <c r="E46" s="238"/>
      <c r="F46" s="239"/>
      <c r="G46" s="240"/>
      <c r="H46" s="241"/>
      <c r="I46" s="242"/>
      <c r="J46" s="243"/>
      <c r="K46" s="244"/>
      <c r="L46" s="245"/>
      <c r="M46" s="246"/>
      <c r="N46" s="247"/>
      <c r="O46" s="248">
        <f>+P46*Q46</f>
        <v>466.37423999999999</v>
      </c>
      <c r="P46" s="249">
        <v>87.335999999999999</v>
      </c>
      <c r="Q46" s="250">
        <v>5.34</v>
      </c>
      <c r="R46" s="82"/>
      <c r="S46" s="115"/>
      <c r="T46" s="82"/>
      <c r="U46" s="82"/>
      <c r="V46" s="82"/>
      <c r="W46" s="82"/>
      <c r="X46" s="82"/>
      <c r="Y46" s="84"/>
      <c r="Z46" s="82"/>
    </row>
    <row r="47" spans="1:26" x14ac:dyDescent="0.3">
      <c r="A47" s="43" t="s">
        <v>309</v>
      </c>
      <c r="B47" s="42">
        <v>2015</v>
      </c>
      <c r="C47" s="188"/>
      <c r="D47" s="259"/>
      <c r="E47" s="189"/>
      <c r="F47" s="190"/>
      <c r="G47" s="260"/>
      <c r="H47" s="191"/>
      <c r="I47" s="192"/>
      <c r="J47" s="261"/>
      <c r="K47" s="193"/>
      <c r="L47" s="194"/>
      <c r="M47" s="186"/>
      <c r="N47" s="262"/>
      <c r="O47" s="248">
        <f>+P47*Q47</f>
        <v>299.56359999999995</v>
      </c>
      <c r="P47" s="264">
        <v>106.98699999999999</v>
      </c>
      <c r="Q47" s="265">
        <v>2.8</v>
      </c>
      <c r="R47" s="82"/>
      <c r="S47" s="115"/>
      <c r="T47" s="82"/>
      <c r="U47" s="82"/>
      <c r="V47" s="82"/>
      <c r="W47" s="82"/>
      <c r="X47" s="82"/>
      <c r="Y47" s="84"/>
      <c r="Z47" s="82"/>
    </row>
    <row r="48" spans="1:26" x14ac:dyDescent="0.3">
      <c r="A48" s="131" t="s">
        <v>40</v>
      </c>
      <c r="B48" s="82">
        <v>2007</v>
      </c>
      <c r="C48" s="251"/>
      <c r="D48" s="93"/>
      <c r="E48" s="252"/>
      <c r="F48" s="253"/>
      <c r="G48" s="105"/>
      <c r="H48" s="254"/>
      <c r="I48" s="255"/>
      <c r="J48" s="94"/>
      <c r="K48" s="256"/>
      <c r="L48" s="257"/>
      <c r="M48" s="258"/>
      <c r="N48" s="111"/>
      <c r="O48" s="102"/>
      <c r="P48" s="95"/>
      <c r="Q48" s="112"/>
      <c r="R48" s="82"/>
      <c r="S48" s="115"/>
      <c r="T48" s="82"/>
      <c r="U48" s="82"/>
      <c r="V48" s="82"/>
      <c r="W48" s="82"/>
      <c r="X48" s="82"/>
      <c r="Y48" s="84"/>
      <c r="Z48" s="82"/>
    </row>
    <row r="49" spans="1:26" x14ac:dyDescent="0.3">
      <c r="A49" s="131" t="s">
        <v>40</v>
      </c>
      <c r="B49" s="16">
        <v>2008</v>
      </c>
      <c r="C49" s="104"/>
      <c r="D49" s="93"/>
      <c r="E49" s="108"/>
      <c r="F49" s="106"/>
      <c r="G49" s="105"/>
      <c r="H49" s="109"/>
      <c r="I49" s="100"/>
      <c r="J49" s="94"/>
      <c r="K49" s="110"/>
      <c r="L49" s="101"/>
      <c r="M49" s="98"/>
      <c r="N49" s="111"/>
      <c r="O49" s="102"/>
      <c r="P49" s="95"/>
      <c r="Q49" s="112"/>
      <c r="R49" s="82"/>
      <c r="S49" s="115"/>
      <c r="T49" s="82"/>
      <c r="U49" s="82"/>
      <c r="V49" s="82"/>
      <c r="W49" s="82"/>
      <c r="X49" s="82"/>
      <c r="Y49" s="84"/>
      <c r="Z49" s="82"/>
    </row>
    <row r="50" spans="1:26" x14ac:dyDescent="0.3">
      <c r="A50" s="131" t="s">
        <v>40</v>
      </c>
      <c r="B50" s="53">
        <v>2009</v>
      </c>
      <c r="C50" s="104"/>
      <c r="D50" s="93"/>
      <c r="E50" s="108"/>
      <c r="F50" s="106"/>
      <c r="G50" s="105"/>
      <c r="H50" s="109"/>
      <c r="I50" s="100"/>
      <c r="J50" s="94"/>
      <c r="K50" s="110"/>
      <c r="L50" s="101"/>
      <c r="M50" s="98"/>
      <c r="N50" s="111"/>
      <c r="O50" s="102"/>
      <c r="P50" s="95"/>
      <c r="Q50" s="112"/>
      <c r="R50" s="82"/>
      <c r="S50" s="115"/>
      <c r="T50" s="82"/>
      <c r="U50" s="82"/>
      <c r="V50" s="82"/>
      <c r="W50" s="82"/>
      <c r="X50" s="82"/>
      <c r="Y50" s="84"/>
      <c r="Z50" s="82"/>
    </row>
    <row r="51" spans="1:26" x14ac:dyDescent="0.3">
      <c r="A51" s="131" t="s">
        <v>40</v>
      </c>
      <c r="B51" s="16">
        <v>2010</v>
      </c>
      <c r="C51" s="104"/>
      <c r="D51" s="93"/>
      <c r="E51" s="108"/>
      <c r="F51" s="106"/>
      <c r="G51" s="105"/>
      <c r="H51" s="109"/>
      <c r="I51" s="100"/>
      <c r="J51" s="94"/>
      <c r="K51" s="110"/>
      <c r="L51" s="101"/>
      <c r="M51" s="98"/>
      <c r="N51" s="111"/>
      <c r="O51" s="102"/>
      <c r="P51" s="95"/>
      <c r="Q51" s="112"/>
      <c r="R51" s="82"/>
      <c r="S51" s="115"/>
      <c r="T51" s="82"/>
      <c r="U51" s="82"/>
      <c r="V51" s="82"/>
      <c r="W51" s="82"/>
      <c r="X51" s="82"/>
      <c r="Y51" s="84"/>
      <c r="Z51" s="82"/>
    </row>
    <row r="52" spans="1:26" x14ac:dyDescent="0.3">
      <c r="A52" s="131" t="s">
        <v>40</v>
      </c>
      <c r="B52" s="53">
        <v>2011</v>
      </c>
      <c r="C52" s="104"/>
      <c r="D52" s="93"/>
      <c r="E52" s="108"/>
      <c r="F52" s="106"/>
      <c r="G52" s="105"/>
      <c r="H52" s="109"/>
      <c r="I52" s="100"/>
      <c r="J52" s="94"/>
      <c r="K52" s="110"/>
      <c r="L52" s="101"/>
      <c r="M52" s="98"/>
      <c r="N52" s="111"/>
      <c r="O52" s="102"/>
      <c r="P52" s="95"/>
      <c r="Q52" s="112"/>
      <c r="R52" s="82"/>
      <c r="S52" s="115"/>
      <c r="T52" s="82"/>
      <c r="U52" s="82"/>
      <c r="V52" s="82"/>
      <c r="W52" s="82"/>
      <c r="X52" s="82"/>
      <c r="Y52" s="84"/>
      <c r="Z52" s="82"/>
    </row>
    <row r="53" spans="1:26" x14ac:dyDescent="0.3">
      <c r="A53" s="131" t="s">
        <v>40</v>
      </c>
      <c r="B53" s="16">
        <v>2012</v>
      </c>
      <c r="C53" s="104">
        <f>+D53*E53</f>
        <v>1269.7692999999999</v>
      </c>
      <c r="D53" s="93">
        <f>5.611*91.25</f>
        <v>512.00374999999997</v>
      </c>
      <c r="E53" s="108">
        <v>2.48</v>
      </c>
      <c r="F53" s="106">
        <f>+G53*H53</f>
        <v>1052.4364375</v>
      </c>
      <c r="G53" s="105">
        <f>5.315*91.25</f>
        <v>484.99375000000003</v>
      </c>
      <c r="H53" s="109">
        <v>2.17</v>
      </c>
      <c r="I53" s="100">
        <f>+J53*K53</f>
        <v>1307.2119124999999</v>
      </c>
      <c r="J53" s="94">
        <f>5.447*91.25</f>
        <v>497.03874999999999</v>
      </c>
      <c r="K53" s="110">
        <v>2.63</v>
      </c>
      <c r="L53" s="101">
        <f t="shared" ref="L53:M55" si="4">+O53-C53-F53-I53</f>
        <v>1641.47435</v>
      </c>
      <c r="M53" s="98">
        <f t="shared" si="4"/>
        <v>502.51374999999979</v>
      </c>
      <c r="N53" s="111">
        <f>+L53/M53</f>
        <v>3.2665262393317609</v>
      </c>
      <c r="O53" s="102">
        <f>+P53*Q53</f>
        <v>5270.8919999999998</v>
      </c>
      <c r="P53" s="95">
        <f>5.47*365</f>
        <v>1996.55</v>
      </c>
      <c r="Q53" s="112">
        <v>2.64</v>
      </c>
      <c r="R53" s="82" t="s">
        <v>203</v>
      </c>
      <c r="S53" s="115"/>
      <c r="T53" s="82"/>
      <c r="U53" s="82"/>
      <c r="V53" s="82"/>
      <c r="W53" s="82"/>
      <c r="X53" s="82"/>
      <c r="Y53" s="84"/>
      <c r="Z53" s="82"/>
    </row>
    <row r="54" spans="1:26" x14ac:dyDescent="0.3">
      <c r="A54" s="43" t="s">
        <v>40</v>
      </c>
      <c r="B54" s="53">
        <v>2013</v>
      </c>
      <c r="C54" s="104">
        <f>+D54*E54</f>
        <v>1729.6848124999997</v>
      </c>
      <c r="D54" s="96">
        <f>6.095*365/4</f>
        <v>556.16874999999993</v>
      </c>
      <c r="E54" s="108">
        <v>3.11</v>
      </c>
      <c r="F54" s="106">
        <f>+G54*H54</f>
        <v>1949.1711749999997</v>
      </c>
      <c r="G54" s="107">
        <f>5.651*365/4</f>
        <v>515.65374999999995</v>
      </c>
      <c r="H54" s="109">
        <v>3.78</v>
      </c>
      <c r="I54" s="100">
        <f>+J54*K54</f>
        <v>1663.2037124999997</v>
      </c>
      <c r="J54" s="97">
        <f>5.643*365/4</f>
        <v>514.92374999999993</v>
      </c>
      <c r="K54" s="110">
        <v>3.23</v>
      </c>
      <c r="L54" s="101">
        <f t="shared" si="4"/>
        <v>1402.3044500000005</v>
      </c>
      <c r="M54" s="98">
        <f t="shared" si="4"/>
        <v>414.54874999999993</v>
      </c>
      <c r="N54" s="111">
        <f>+L54/M54</f>
        <v>3.3827250715386326</v>
      </c>
      <c r="O54" s="102">
        <f>+P54*Q54</f>
        <v>6744.3641499999994</v>
      </c>
      <c r="P54" s="99">
        <f>5.483*365</f>
        <v>2001.2949999999998</v>
      </c>
      <c r="Q54" s="113">
        <v>3.37</v>
      </c>
      <c r="R54" s="82" t="s">
        <v>283</v>
      </c>
      <c r="S54" s="115"/>
      <c r="T54" s="82"/>
      <c r="U54" s="82"/>
      <c r="V54" s="82"/>
      <c r="W54" s="82"/>
      <c r="X54" s="82"/>
      <c r="Y54" s="84"/>
      <c r="Z54" s="82"/>
    </row>
    <row r="55" spans="1:26" x14ac:dyDescent="0.3">
      <c r="A55" s="43" t="s">
        <v>40</v>
      </c>
      <c r="B55" s="53">
        <v>2014</v>
      </c>
      <c r="C55" s="104">
        <f>+D55*E55</f>
        <v>2148.4556999999995</v>
      </c>
      <c r="D55" s="96">
        <f>4.936*365/4</f>
        <v>450.40999999999997</v>
      </c>
      <c r="E55" s="108">
        <v>4.7699999999999996</v>
      </c>
      <c r="F55" s="106">
        <f>+G55*H55</f>
        <v>1371.9291499999999</v>
      </c>
      <c r="G55" s="107">
        <f>3.676*365/4</f>
        <v>335.435</v>
      </c>
      <c r="H55" s="109">
        <v>4.09</v>
      </c>
      <c r="I55" s="100">
        <f>+J55*K55</f>
        <v>1167.2353249999999</v>
      </c>
      <c r="J55" s="97">
        <f>3.697*365/4</f>
        <v>337.35124999999999</v>
      </c>
      <c r="K55" s="110">
        <v>3.46</v>
      </c>
      <c r="L55" s="101">
        <f t="shared" si="4"/>
        <v>999.26232500000037</v>
      </c>
      <c r="M55" s="98">
        <f t="shared" si="4"/>
        <v>334.97874999999993</v>
      </c>
      <c r="N55" s="111">
        <f>+L55/M55</f>
        <v>2.9830618360119874</v>
      </c>
      <c r="O55" s="102">
        <f>+P55*Q55</f>
        <v>5686.8824999999997</v>
      </c>
      <c r="P55" s="99">
        <f>3.995*365</f>
        <v>1458.175</v>
      </c>
      <c r="Q55" s="113">
        <v>3.9</v>
      </c>
      <c r="R55" s="82"/>
      <c r="S55" s="115"/>
      <c r="T55" s="82"/>
      <c r="U55" s="82"/>
      <c r="V55" s="82"/>
      <c r="W55" s="82"/>
      <c r="X55" s="82"/>
      <c r="Y55" s="84"/>
      <c r="Z55" s="82"/>
    </row>
    <row r="56" spans="1:26" x14ac:dyDescent="0.3">
      <c r="A56" s="41" t="s">
        <v>40</v>
      </c>
      <c r="B56" s="42">
        <v>2015</v>
      </c>
      <c r="C56" s="188">
        <f>+D56*E56</f>
        <v>857.3421125000001</v>
      </c>
      <c r="D56" s="183">
        <f>4.139*91.25</f>
        <v>377.68375000000003</v>
      </c>
      <c r="E56" s="189">
        <v>2.27</v>
      </c>
      <c r="F56" s="190">
        <f>+G56*H56</f>
        <v>661.73040000000003</v>
      </c>
      <c r="G56" s="184">
        <f>3.777*91.25</f>
        <v>344.65125</v>
      </c>
      <c r="H56" s="191">
        <v>1.92</v>
      </c>
      <c r="I56" s="192">
        <f>+J56*K56</f>
        <v>696.79959999999994</v>
      </c>
      <c r="J56" s="185">
        <f>3.896*91.25</f>
        <v>355.51</v>
      </c>
      <c r="K56" s="193">
        <v>1.96</v>
      </c>
      <c r="L56" s="194">
        <f>+O56-C56-F56-I56</f>
        <v>526.35828749999962</v>
      </c>
      <c r="M56" s="186">
        <f>+P56-D56-G56-J56</f>
        <v>350.39999999999975</v>
      </c>
      <c r="N56" s="195">
        <f>+L56/M56</f>
        <v>1.5021640624999999</v>
      </c>
      <c r="O56" s="196">
        <f>+P56*Q56</f>
        <v>2742.2303999999995</v>
      </c>
      <c r="P56" s="187">
        <f>3.913*365</f>
        <v>1428.2449999999999</v>
      </c>
      <c r="Q56" s="197">
        <v>1.92</v>
      </c>
      <c r="R56" s="82"/>
      <c r="S56" s="115"/>
      <c r="T56" s="82"/>
      <c r="U56" s="82"/>
      <c r="V56" s="82"/>
      <c r="W56" s="82"/>
      <c r="X56" s="82"/>
      <c r="Y56" s="84"/>
      <c r="Z56" s="82"/>
    </row>
    <row r="57" spans="1:26" x14ac:dyDescent="0.3">
      <c r="A57" s="131" t="s">
        <v>42</v>
      </c>
      <c r="B57" s="82">
        <v>2007</v>
      </c>
      <c r="C57" s="104"/>
      <c r="D57" s="93"/>
      <c r="E57" s="108"/>
      <c r="F57" s="106"/>
      <c r="G57" s="105"/>
      <c r="H57" s="109"/>
      <c r="I57" s="100"/>
      <c r="J57" s="94"/>
      <c r="K57" s="110"/>
      <c r="L57" s="101"/>
      <c r="M57" s="98"/>
      <c r="N57" s="111"/>
      <c r="O57" s="102"/>
      <c r="P57" s="95"/>
      <c r="Q57" s="112"/>
      <c r="R57" s="82"/>
      <c r="S57" s="115"/>
      <c r="T57" s="82"/>
      <c r="U57" s="82"/>
      <c r="V57" s="82"/>
      <c r="W57" s="82"/>
      <c r="X57" s="82"/>
      <c r="Y57" s="84"/>
      <c r="Z57" s="82"/>
    </row>
    <row r="58" spans="1:26" x14ac:dyDescent="0.3">
      <c r="A58" s="131" t="s">
        <v>42</v>
      </c>
      <c r="B58" s="16">
        <v>2008</v>
      </c>
      <c r="C58" s="104"/>
      <c r="D58" s="93"/>
      <c r="E58" s="108"/>
      <c r="F58" s="106"/>
      <c r="G58" s="105"/>
      <c r="H58" s="109"/>
      <c r="I58" s="100"/>
      <c r="J58" s="94"/>
      <c r="K58" s="110"/>
      <c r="L58" s="101"/>
      <c r="M58" s="98"/>
      <c r="N58" s="111"/>
      <c r="O58" s="102"/>
      <c r="P58" s="95"/>
      <c r="Q58" s="112"/>
      <c r="R58" s="82"/>
      <c r="S58" s="115"/>
      <c r="T58" s="82"/>
      <c r="U58" s="82"/>
      <c r="V58" s="82"/>
      <c r="W58" s="82"/>
      <c r="X58" s="82"/>
      <c r="Y58" s="84"/>
      <c r="Z58" s="82"/>
    </row>
    <row r="59" spans="1:26" x14ac:dyDescent="0.3">
      <c r="A59" s="131" t="s">
        <v>42</v>
      </c>
      <c r="B59" s="53">
        <v>2009</v>
      </c>
      <c r="C59" s="104"/>
      <c r="D59" s="93"/>
      <c r="E59" s="108"/>
      <c r="F59" s="106"/>
      <c r="G59" s="105"/>
      <c r="H59" s="109"/>
      <c r="I59" s="100"/>
      <c r="J59" s="94"/>
      <c r="K59" s="110"/>
      <c r="L59" s="101"/>
      <c r="M59" s="98"/>
      <c r="N59" s="111"/>
      <c r="O59" s="102"/>
      <c r="P59" s="95"/>
      <c r="Q59" s="112"/>
      <c r="R59" s="82"/>
      <c r="S59" s="115"/>
      <c r="T59" s="82"/>
      <c r="U59" s="82"/>
      <c r="V59" s="82"/>
      <c r="W59" s="82"/>
      <c r="X59" s="82"/>
      <c r="Y59" s="84"/>
      <c r="Z59" s="82"/>
    </row>
    <row r="60" spans="1:26" x14ac:dyDescent="0.3">
      <c r="A60" s="131" t="s">
        <v>42</v>
      </c>
      <c r="B60" s="16">
        <v>2010</v>
      </c>
      <c r="C60" s="104"/>
      <c r="D60" s="93"/>
      <c r="E60" s="108"/>
      <c r="F60" s="106"/>
      <c r="G60" s="105"/>
      <c r="H60" s="109"/>
      <c r="I60" s="100"/>
      <c r="J60" s="94"/>
      <c r="K60" s="110"/>
      <c r="L60" s="101"/>
      <c r="M60" s="98"/>
      <c r="N60" s="111"/>
      <c r="O60" s="102"/>
      <c r="P60" s="95"/>
      <c r="Q60" s="112"/>
      <c r="R60" s="82"/>
      <c r="S60" s="115"/>
      <c r="T60" s="82"/>
      <c r="U60" s="82"/>
      <c r="V60" s="82"/>
      <c r="W60" s="82"/>
      <c r="X60" s="82"/>
      <c r="Y60" s="84"/>
      <c r="Z60" s="82"/>
    </row>
    <row r="61" spans="1:26" x14ac:dyDescent="0.3">
      <c r="A61" s="131" t="s">
        <v>42</v>
      </c>
      <c r="B61" s="53">
        <v>2011</v>
      </c>
      <c r="C61" s="104"/>
      <c r="D61" s="93"/>
      <c r="E61" s="108"/>
      <c r="F61" s="106"/>
      <c r="G61" s="105"/>
      <c r="H61" s="109"/>
      <c r="I61" s="100"/>
      <c r="J61" s="94"/>
      <c r="K61" s="110"/>
      <c r="L61" s="101"/>
      <c r="M61" s="98"/>
      <c r="N61" s="111"/>
      <c r="O61" s="102"/>
      <c r="P61" s="95"/>
      <c r="Q61" s="112"/>
      <c r="R61" s="82"/>
      <c r="S61" s="115"/>
      <c r="T61" s="82"/>
      <c r="U61" s="82"/>
      <c r="V61" s="82"/>
      <c r="W61" s="82"/>
      <c r="X61" s="82"/>
      <c r="Y61" s="84"/>
      <c r="Z61" s="82"/>
    </row>
    <row r="62" spans="1:26" x14ac:dyDescent="0.3">
      <c r="A62" s="131" t="s">
        <v>42</v>
      </c>
      <c r="B62" s="16">
        <v>2012</v>
      </c>
      <c r="C62" s="104">
        <f>+D62*E62</f>
        <v>377.4693125</v>
      </c>
      <c r="D62" s="93">
        <f>+(1.502+0.059)*91.25</f>
        <v>142.44125</v>
      </c>
      <c r="E62" s="108">
        <v>2.65</v>
      </c>
      <c r="F62" s="106">
        <f>+G62*H62</f>
        <v>279.00599999999997</v>
      </c>
      <c r="G62" s="105">
        <f>1.456*91.25</f>
        <v>132.85999999999999</v>
      </c>
      <c r="H62" s="109">
        <v>2.1</v>
      </c>
      <c r="I62" s="100">
        <f>+J62*K62</f>
        <v>478.54784999999993</v>
      </c>
      <c r="J62" s="94">
        <f>1.507*91.25</f>
        <v>137.51374999999999</v>
      </c>
      <c r="K62" s="110">
        <v>3.48</v>
      </c>
      <c r="L62" s="101">
        <f t="shared" ref="L62:M64" si="5">+O62-C62-F62-I62</f>
        <v>401.83123750000038</v>
      </c>
      <c r="M62" s="98">
        <f t="shared" si="5"/>
        <v>152.20500000000001</v>
      </c>
      <c r="N62" s="111">
        <f>+L62/M62</f>
        <v>2.6400659472422086</v>
      </c>
      <c r="O62" s="102">
        <f>+P62*Q62</f>
        <v>1536.8544000000002</v>
      </c>
      <c r="P62" s="95">
        <f>(1.493+0.055)*365</f>
        <v>565.02</v>
      </c>
      <c r="Q62" s="112">
        <v>2.72</v>
      </c>
      <c r="R62" s="82"/>
      <c r="S62" s="115"/>
      <c r="T62" s="82"/>
      <c r="U62" s="82"/>
      <c r="V62" s="82"/>
      <c r="W62" s="82"/>
      <c r="X62" s="82"/>
      <c r="Y62" s="84"/>
      <c r="Z62" s="82"/>
    </row>
    <row r="63" spans="1:26" x14ac:dyDescent="0.3">
      <c r="A63" s="43" t="s">
        <v>42</v>
      </c>
      <c r="B63" s="53">
        <v>2013</v>
      </c>
      <c r="C63" s="104">
        <f>+D63*E63</f>
        <v>435.75798750000007</v>
      </c>
      <c r="D63" s="96">
        <f>+(1.441+0.056)*91.25</f>
        <v>136.60125000000002</v>
      </c>
      <c r="E63" s="108">
        <v>3.19</v>
      </c>
      <c r="F63" s="106">
        <f>+G63*H63</f>
        <v>520.64512500000001</v>
      </c>
      <c r="G63" s="107">
        <v>135.23249999999999</v>
      </c>
      <c r="H63" s="109">
        <v>3.85</v>
      </c>
      <c r="I63" s="100">
        <f>+J63*K63</f>
        <v>467.40896250000003</v>
      </c>
      <c r="J63" s="97">
        <f>1.511*91.25</f>
        <v>137.87875</v>
      </c>
      <c r="K63" s="110">
        <v>3.39</v>
      </c>
      <c r="L63" s="101">
        <f t="shared" si="5"/>
        <v>545.78632499999969</v>
      </c>
      <c r="M63" s="98">
        <f t="shared" si="5"/>
        <v>149.83249999999995</v>
      </c>
      <c r="N63" s="111">
        <f>+L63/M63</f>
        <v>3.6426431181485985</v>
      </c>
      <c r="O63" s="102">
        <f>+P63*Q63</f>
        <v>1969.5983999999999</v>
      </c>
      <c r="P63" s="99">
        <f>(1.49+0.043)*365</f>
        <v>559.54499999999996</v>
      </c>
      <c r="Q63" s="113">
        <v>3.52</v>
      </c>
      <c r="R63" s="82" t="s">
        <v>194</v>
      </c>
      <c r="S63" s="115"/>
      <c r="T63" s="82"/>
      <c r="U63" s="82"/>
      <c r="V63" s="82"/>
      <c r="W63" s="82"/>
      <c r="X63" s="82"/>
      <c r="Y63" s="84"/>
      <c r="Z63" s="82"/>
    </row>
    <row r="64" spans="1:26" x14ac:dyDescent="0.3">
      <c r="A64" s="43" t="s">
        <v>42</v>
      </c>
      <c r="B64" s="53">
        <v>2014</v>
      </c>
      <c r="C64" s="104">
        <f>+D64*E64</f>
        <v>683.04092500000002</v>
      </c>
      <c r="D64" s="96">
        <f>+(1.468+0.0055)*91.25</f>
        <v>134.456875</v>
      </c>
      <c r="E64" s="108">
        <v>5.08</v>
      </c>
      <c r="F64" s="106">
        <f>+G64*H64</f>
        <v>604.33506250000005</v>
      </c>
      <c r="G64" s="107">
        <v>136.41875000000002</v>
      </c>
      <c r="H64" s="109">
        <v>4.43</v>
      </c>
      <c r="I64" s="100">
        <f>+J64*K64</f>
        <v>553.94955000000004</v>
      </c>
      <c r="J64" s="97">
        <f>(1.485+0.048)*91.25</f>
        <v>139.88625000000002</v>
      </c>
      <c r="K64" s="110">
        <v>3.96</v>
      </c>
      <c r="L64" s="101">
        <f t="shared" si="5"/>
        <v>586.94646250000028</v>
      </c>
      <c r="M64" s="98">
        <f t="shared" si="5"/>
        <v>151.33812499999999</v>
      </c>
      <c r="N64" s="111">
        <f>+L64/M64</f>
        <v>3.8783780524570415</v>
      </c>
      <c r="O64" s="102">
        <f>+P64*Q64</f>
        <v>2428.2720000000004</v>
      </c>
      <c r="P64" s="99">
        <f>(1.491+0.049)*365</f>
        <v>562.1</v>
      </c>
      <c r="Q64" s="113">
        <v>4.32</v>
      </c>
      <c r="R64" s="170" t="s">
        <v>193</v>
      </c>
      <c r="S64" s="115"/>
      <c r="T64" s="82"/>
      <c r="U64" s="82"/>
      <c r="V64" s="82"/>
      <c r="W64" s="82"/>
      <c r="X64" s="82"/>
      <c r="Y64" s="84"/>
      <c r="Z64" s="82"/>
    </row>
    <row r="65" spans="1:26" x14ac:dyDescent="0.3">
      <c r="A65" s="41" t="s">
        <v>42</v>
      </c>
      <c r="B65" s="42">
        <v>2015</v>
      </c>
      <c r="C65" s="188">
        <f>+D65*E65</f>
        <v>369.39824999999996</v>
      </c>
      <c r="D65" s="183">
        <f>+(1.505+0.052)*91.25</f>
        <v>142.07624999999999</v>
      </c>
      <c r="E65" s="189">
        <v>2.6</v>
      </c>
      <c r="F65" s="190">
        <f>+G65*H65</f>
        <v>334.88384999999994</v>
      </c>
      <c r="G65" s="184">
        <f>+(1.501+0.041)*91.25</f>
        <v>140.70749999999998</v>
      </c>
      <c r="H65" s="191">
        <v>2.38</v>
      </c>
      <c r="I65" s="192">
        <f>+J65*K65</f>
        <v>360.54243750000001</v>
      </c>
      <c r="J65" s="185">
        <f>+(1.457+0.034)*91.25</f>
        <v>136.05375000000001</v>
      </c>
      <c r="K65" s="193">
        <v>2.65</v>
      </c>
      <c r="L65" s="194">
        <f>+O65-C65-F65-I65</f>
        <v>306.43301250000013</v>
      </c>
      <c r="M65" s="186">
        <f>+P65-D65-G65-J65</f>
        <v>136.32750000000001</v>
      </c>
      <c r="N65" s="195">
        <f>+L65/M65</f>
        <v>2.2477710843373502</v>
      </c>
      <c r="O65" s="196">
        <f>+P65*Q65</f>
        <v>1371.25755</v>
      </c>
      <c r="P65" s="187">
        <f>+(1.472+0.049)*365</f>
        <v>555.16499999999996</v>
      </c>
      <c r="Q65" s="197">
        <v>2.4700000000000002</v>
      </c>
      <c r="R65" s="82"/>
      <c r="S65" s="115"/>
      <c r="T65" s="82"/>
      <c r="U65" s="82"/>
      <c r="V65" s="82"/>
      <c r="W65" s="82"/>
      <c r="X65" s="82"/>
      <c r="Y65" s="84"/>
      <c r="Z65" s="82"/>
    </row>
    <row r="66" spans="1:26" s="225" customFormat="1" x14ac:dyDescent="0.3">
      <c r="A66" s="43" t="s">
        <v>313</v>
      </c>
      <c r="B66" s="82">
        <v>2007</v>
      </c>
      <c r="C66" s="236"/>
      <c r="D66" s="237"/>
      <c r="E66" s="238"/>
      <c r="F66" s="239"/>
      <c r="G66" s="240"/>
      <c r="H66" s="241"/>
      <c r="I66" s="242"/>
      <c r="J66" s="243"/>
      <c r="K66" s="244"/>
      <c r="L66" s="245"/>
      <c r="M66" s="246"/>
      <c r="N66" s="247"/>
      <c r="O66" s="248"/>
      <c r="P66" s="249"/>
      <c r="Q66" s="250"/>
      <c r="R66" s="82"/>
      <c r="S66" s="115"/>
      <c r="T66" s="82"/>
      <c r="U66" s="82"/>
      <c r="V66" s="82"/>
      <c r="W66" s="82"/>
      <c r="X66" s="82"/>
      <c r="Y66" s="84"/>
      <c r="Z66" s="82"/>
    </row>
    <row r="67" spans="1:26" s="225" customFormat="1" x14ac:dyDescent="0.3">
      <c r="A67" s="43" t="s">
        <v>313</v>
      </c>
      <c r="B67" s="16">
        <v>2008</v>
      </c>
      <c r="C67" s="236"/>
      <c r="D67" s="237"/>
      <c r="E67" s="238"/>
      <c r="F67" s="239"/>
      <c r="G67" s="240"/>
      <c r="H67" s="241"/>
      <c r="I67" s="242"/>
      <c r="J67" s="243"/>
      <c r="K67" s="244"/>
      <c r="L67" s="245"/>
      <c r="M67" s="246"/>
      <c r="N67" s="247"/>
      <c r="O67" s="248"/>
      <c r="P67" s="249"/>
      <c r="Q67" s="250"/>
      <c r="R67" s="82"/>
      <c r="S67" s="115"/>
      <c r="T67" s="82"/>
      <c r="U67" s="82"/>
      <c r="V67" s="82"/>
      <c r="W67" s="82"/>
      <c r="X67" s="82"/>
      <c r="Y67" s="84"/>
      <c r="Z67" s="82"/>
    </row>
    <row r="68" spans="1:26" s="225" customFormat="1" x14ac:dyDescent="0.3">
      <c r="A68" s="43" t="s">
        <v>313</v>
      </c>
      <c r="B68" s="53">
        <v>2009</v>
      </c>
      <c r="C68" s="236"/>
      <c r="D68" s="237"/>
      <c r="E68" s="238"/>
      <c r="F68" s="239"/>
      <c r="G68" s="240"/>
      <c r="H68" s="241"/>
      <c r="I68" s="242"/>
      <c r="J68" s="243"/>
      <c r="K68" s="244"/>
      <c r="L68" s="245"/>
      <c r="M68" s="246"/>
      <c r="N68" s="247"/>
      <c r="O68" s="248"/>
      <c r="P68" s="249"/>
      <c r="Q68" s="250"/>
      <c r="R68" s="82"/>
      <c r="S68" s="115"/>
      <c r="T68" s="82"/>
      <c r="U68" s="82"/>
      <c r="V68" s="82"/>
      <c r="W68" s="82"/>
      <c r="X68" s="82"/>
      <c r="Y68" s="84"/>
      <c r="Z68" s="82"/>
    </row>
    <row r="69" spans="1:26" s="225" customFormat="1" x14ac:dyDescent="0.3">
      <c r="A69" s="43" t="s">
        <v>313</v>
      </c>
      <c r="B69" s="16">
        <v>2010</v>
      </c>
      <c r="C69" s="236"/>
      <c r="D69" s="237"/>
      <c r="E69" s="238"/>
      <c r="F69" s="239"/>
      <c r="G69" s="240"/>
      <c r="H69" s="241"/>
      <c r="I69" s="242"/>
      <c r="J69" s="243"/>
      <c r="K69" s="244"/>
      <c r="L69" s="245"/>
      <c r="M69" s="246"/>
      <c r="N69" s="247"/>
      <c r="O69" s="248"/>
      <c r="P69" s="249"/>
      <c r="Q69" s="250"/>
      <c r="R69" s="82"/>
      <c r="S69" s="115"/>
      <c r="T69" s="82"/>
      <c r="U69" s="82"/>
      <c r="V69" s="82"/>
      <c r="W69" s="82"/>
      <c r="X69" s="82"/>
      <c r="Y69" s="84"/>
      <c r="Z69" s="82"/>
    </row>
    <row r="70" spans="1:26" s="225" customFormat="1" x14ac:dyDescent="0.3">
      <c r="A70" s="43" t="s">
        <v>313</v>
      </c>
      <c r="B70" s="53">
        <v>2011</v>
      </c>
      <c r="C70" s="236"/>
      <c r="D70" s="237"/>
      <c r="E70" s="238"/>
      <c r="F70" s="239"/>
      <c r="G70" s="240"/>
      <c r="H70" s="241"/>
      <c r="I70" s="242"/>
      <c r="J70" s="243"/>
      <c r="K70" s="244"/>
      <c r="L70" s="245"/>
      <c r="M70" s="246"/>
      <c r="N70" s="247"/>
      <c r="O70" s="248"/>
      <c r="P70" s="249"/>
      <c r="Q70" s="250"/>
      <c r="R70" s="82"/>
      <c r="S70" s="115"/>
      <c r="T70" s="82"/>
      <c r="U70" s="82"/>
      <c r="V70" s="82"/>
      <c r="W70" s="82"/>
      <c r="X70" s="82"/>
      <c r="Y70" s="84"/>
      <c r="Z70" s="82"/>
    </row>
    <row r="71" spans="1:26" s="225" customFormat="1" x14ac:dyDescent="0.3">
      <c r="A71" s="43" t="s">
        <v>313</v>
      </c>
      <c r="B71" s="16">
        <v>2012</v>
      </c>
      <c r="C71" s="236"/>
      <c r="D71" s="237"/>
      <c r="E71" s="238"/>
      <c r="F71" s="239"/>
      <c r="G71" s="240"/>
      <c r="H71" s="241"/>
      <c r="I71" s="242"/>
      <c r="J71" s="243"/>
      <c r="K71" s="244"/>
      <c r="L71" s="245"/>
      <c r="M71" s="246"/>
      <c r="N71" s="247"/>
      <c r="O71" s="248"/>
      <c r="P71" s="249"/>
      <c r="Q71" s="250"/>
      <c r="R71" s="82"/>
      <c r="S71" s="115"/>
      <c r="T71" s="82"/>
      <c r="U71" s="82"/>
      <c r="V71" s="82"/>
      <c r="W71" s="82"/>
      <c r="X71" s="82"/>
      <c r="Y71" s="84"/>
      <c r="Z71" s="82"/>
    </row>
    <row r="72" spans="1:26" s="225" customFormat="1" x14ac:dyDescent="0.3">
      <c r="A72" s="43" t="s">
        <v>313</v>
      </c>
      <c r="B72" s="53">
        <v>2013</v>
      </c>
      <c r="C72" s="236"/>
      <c r="D72" s="237"/>
      <c r="E72" s="238"/>
      <c r="F72" s="239"/>
      <c r="G72" s="240"/>
      <c r="H72" s="241"/>
      <c r="I72" s="242"/>
      <c r="J72" s="243"/>
      <c r="K72" s="244"/>
      <c r="L72" s="245"/>
      <c r="M72" s="246"/>
      <c r="N72" s="247"/>
      <c r="O72" s="248"/>
      <c r="P72" s="249"/>
      <c r="Q72" s="250"/>
      <c r="R72" s="82"/>
      <c r="S72" s="115"/>
      <c r="T72" s="82"/>
      <c r="U72" s="82"/>
      <c r="V72" s="82"/>
      <c r="W72" s="82"/>
      <c r="X72" s="82"/>
      <c r="Y72" s="84"/>
      <c r="Z72" s="82"/>
    </row>
    <row r="73" spans="1:26" s="225" customFormat="1" x14ac:dyDescent="0.3">
      <c r="A73" s="43" t="s">
        <v>313</v>
      </c>
      <c r="B73" s="53">
        <v>2014</v>
      </c>
      <c r="C73" s="236"/>
      <c r="D73" s="237"/>
      <c r="E73" s="238"/>
      <c r="F73" s="239"/>
      <c r="G73" s="240"/>
      <c r="H73" s="241"/>
      <c r="I73" s="242"/>
      <c r="J73" s="243"/>
      <c r="K73" s="244"/>
      <c r="L73" s="245"/>
      <c r="M73" s="246"/>
      <c r="N73" s="247"/>
      <c r="O73" s="248"/>
      <c r="P73" s="249"/>
      <c r="Q73" s="250"/>
      <c r="R73" s="82"/>
      <c r="S73" s="115"/>
      <c r="T73" s="82"/>
      <c r="U73" s="82"/>
      <c r="V73" s="82"/>
      <c r="W73" s="82"/>
      <c r="X73" s="82"/>
      <c r="Y73" s="84"/>
      <c r="Z73" s="82"/>
    </row>
    <row r="74" spans="1:26" s="225" customFormat="1" x14ac:dyDescent="0.3">
      <c r="A74" s="43" t="s">
        <v>313</v>
      </c>
      <c r="B74" s="42">
        <v>2015</v>
      </c>
      <c r="C74" s="236"/>
      <c r="D74" s="237"/>
      <c r="E74" s="238"/>
      <c r="F74" s="239"/>
      <c r="G74" s="240"/>
      <c r="H74" s="241"/>
      <c r="I74" s="242"/>
      <c r="J74" s="243"/>
      <c r="K74" s="244"/>
      <c r="L74" s="245"/>
      <c r="M74" s="246"/>
      <c r="N74" s="247"/>
      <c r="O74" s="248"/>
      <c r="P74" s="249"/>
      <c r="Q74" s="250"/>
      <c r="R74" s="82"/>
      <c r="S74" s="115"/>
      <c r="T74" s="82"/>
      <c r="U74" s="82"/>
      <c r="V74" s="82"/>
      <c r="W74" s="82"/>
      <c r="X74" s="82"/>
      <c r="Y74" s="84"/>
      <c r="Z74" s="82"/>
    </row>
    <row r="75" spans="1:26" x14ac:dyDescent="0.3">
      <c r="A75" s="131" t="s">
        <v>44</v>
      </c>
      <c r="B75" s="82">
        <v>2007</v>
      </c>
      <c r="C75" s="104"/>
      <c r="D75" s="93"/>
      <c r="E75" s="108"/>
      <c r="F75" s="106"/>
      <c r="G75" s="105"/>
      <c r="H75" s="109"/>
      <c r="I75" s="100"/>
      <c r="J75" s="94"/>
      <c r="K75" s="110"/>
      <c r="L75" s="101"/>
      <c r="M75" s="98"/>
      <c r="N75" s="111"/>
      <c r="O75" s="102"/>
      <c r="P75" s="95"/>
      <c r="Q75" s="112"/>
      <c r="R75" s="82"/>
      <c r="S75" s="115"/>
      <c r="T75" s="82"/>
      <c r="U75" s="82"/>
      <c r="V75" s="82"/>
      <c r="W75" s="82"/>
      <c r="X75" s="82"/>
      <c r="Y75" s="84"/>
      <c r="Z75" s="82"/>
    </row>
    <row r="76" spans="1:26" x14ac:dyDescent="0.3">
      <c r="A76" s="131" t="s">
        <v>44</v>
      </c>
      <c r="B76" s="16">
        <v>2008</v>
      </c>
      <c r="C76" s="104"/>
      <c r="D76" s="93"/>
      <c r="E76" s="108"/>
      <c r="F76" s="106"/>
      <c r="G76" s="105"/>
      <c r="H76" s="109"/>
      <c r="I76" s="100"/>
      <c r="J76" s="94"/>
      <c r="K76" s="110"/>
      <c r="L76" s="101"/>
      <c r="M76" s="98"/>
      <c r="N76" s="111"/>
      <c r="O76" s="102"/>
      <c r="P76" s="95"/>
      <c r="Q76" s="112"/>
      <c r="R76" s="82"/>
      <c r="S76" s="115"/>
      <c r="T76" s="82"/>
      <c r="U76" s="82"/>
      <c r="V76" s="82"/>
      <c r="W76" s="82"/>
      <c r="X76" s="82"/>
      <c r="Y76" s="84"/>
      <c r="Z76" s="82"/>
    </row>
    <row r="77" spans="1:26" x14ac:dyDescent="0.3">
      <c r="A77" s="131" t="s">
        <v>44</v>
      </c>
      <c r="B77" s="53">
        <v>2009</v>
      </c>
      <c r="C77" s="104"/>
      <c r="D77" s="93"/>
      <c r="E77" s="108"/>
      <c r="F77" s="106"/>
      <c r="G77" s="105"/>
      <c r="H77" s="109"/>
      <c r="I77" s="100"/>
      <c r="J77" s="94"/>
      <c r="K77" s="110"/>
      <c r="L77" s="101"/>
      <c r="M77" s="98"/>
      <c r="N77" s="111"/>
      <c r="O77" s="102"/>
      <c r="P77" s="95"/>
      <c r="Q77" s="112"/>
      <c r="R77" s="82"/>
      <c r="S77" s="115"/>
      <c r="T77" s="82"/>
      <c r="U77" s="82"/>
      <c r="V77" s="82"/>
      <c r="W77" s="82"/>
      <c r="X77" s="82"/>
      <c r="Y77" s="84"/>
      <c r="Z77" s="82"/>
    </row>
    <row r="78" spans="1:26" x14ac:dyDescent="0.3">
      <c r="A78" s="131" t="s">
        <v>44</v>
      </c>
      <c r="B78" s="16">
        <v>2010</v>
      </c>
      <c r="C78" s="104"/>
      <c r="D78" s="93"/>
      <c r="E78" s="108"/>
      <c r="F78" s="106"/>
      <c r="G78" s="105"/>
      <c r="H78" s="109"/>
      <c r="I78" s="100"/>
      <c r="J78" s="94"/>
      <c r="K78" s="110"/>
      <c r="L78" s="101"/>
      <c r="M78" s="98"/>
      <c r="N78" s="111"/>
      <c r="O78" s="102"/>
      <c r="P78" s="95"/>
      <c r="Q78" s="112"/>
      <c r="R78" s="82"/>
      <c r="S78" s="115"/>
      <c r="T78" s="82"/>
      <c r="U78" s="82"/>
      <c r="V78" s="82"/>
      <c r="W78" s="82"/>
      <c r="X78" s="82"/>
      <c r="Y78" s="84"/>
      <c r="Z78" s="82"/>
    </row>
    <row r="79" spans="1:26" x14ac:dyDescent="0.3">
      <c r="A79" s="131" t="s">
        <v>44</v>
      </c>
      <c r="B79" s="53">
        <v>2011</v>
      </c>
      <c r="C79" s="104"/>
      <c r="D79" s="93"/>
      <c r="E79" s="108"/>
      <c r="F79" s="106"/>
      <c r="G79" s="105"/>
      <c r="H79" s="109"/>
      <c r="I79" s="100"/>
      <c r="J79" s="94"/>
      <c r="K79" s="110"/>
      <c r="L79" s="101"/>
      <c r="M79" s="98"/>
      <c r="N79" s="111"/>
      <c r="O79" s="102"/>
      <c r="P79" s="95"/>
      <c r="Q79" s="112"/>
      <c r="R79" s="82"/>
      <c r="S79" s="115"/>
      <c r="T79" s="82"/>
      <c r="U79" s="82"/>
      <c r="V79" s="82"/>
      <c r="W79" s="82"/>
      <c r="X79" s="82"/>
      <c r="Y79" s="84"/>
      <c r="Z79" s="82"/>
    </row>
    <row r="80" spans="1:26" x14ac:dyDescent="0.3">
      <c r="A80" s="131" t="s">
        <v>44</v>
      </c>
      <c r="B80" s="16">
        <v>2012</v>
      </c>
      <c r="C80" s="104">
        <f>+D80*E80</f>
        <v>570.936285</v>
      </c>
      <c r="D80" s="93">
        <f>2.0718*91.25</f>
        <v>189.05175</v>
      </c>
      <c r="E80" s="108">
        <v>3.02</v>
      </c>
      <c r="F80" s="106">
        <f>+G80*H80</f>
        <v>497.634795</v>
      </c>
      <c r="G80" s="105">
        <f>2.0502*91.25</f>
        <v>187.08074999999999</v>
      </c>
      <c r="H80" s="109">
        <v>2.66</v>
      </c>
      <c r="I80" s="100">
        <f>+J80*K80</f>
        <v>569.64108250000004</v>
      </c>
      <c r="J80" s="94">
        <f>2.0671*91.25</f>
        <v>188.62287499999999</v>
      </c>
      <c r="K80" s="110">
        <v>3.02</v>
      </c>
      <c r="L80" s="101">
        <f t="shared" ref="L80:M83" si="6">+O80-C80-F80-I80</f>
        <v>1249.5765875</v>
      </c>
      <c r="M80" s="98">
        <f t="shared" si="6"/>
        <v>185.31962500000012</v>
      </c>
      <c r="N80" s="111">
        <f>+L80/M80</f>
        <v>6.7428184548722196</v>
      </c>
      <c r="O80" s="102">
        <f>+P80*Q80</f>
        <v>2887.7887500000002</v>
      </c>
      <c r="P80" s="95">
        <f>2.055*365</f>
        <v>750.07500000000005</v>
      </c>
      <c r="Q80" s="112">
        <v>3.85</v>
      </c>
      <c r="R80" s="82"/>
      <c r="S80" s="115"/>
      <c r="T80" s="82"/>
      <c r="U80" s="82"/>
      <c r="V80" s="82"/>
      <c r="W80" s="82"/>
      <c r="X80" s="82"/>
      <c r="Y80" s="84"/>
      <c r="Z80" s="82"/>
    </row>
    <row r="81" spans="1:26" x14ac:dyDescent="0.3">
      <c r="A81" s="43" t="s">
        <v>44</v>
      </c>
      <c r="B81" s="53">
        <v>2013</v>
      </c>
      <c r="C81" s="104">
        <f>+D81*E81</f>
        <v>468.11414249999996</v>
      </c>
      <c r="D81" s="96">
        <f>1.6602*365/4</f>
        <v>151.49324999999999</v>
      </c>
      <c r="E81" s="108">
        <v>3.09</v>
      </c>
      <c r="F81" s="106">
        <f>+G81*H81</f>
        <v>522.130675</v>
      </c>
      <c r="G81" s="107">
        <f>1.678*365/4</f>
        <v>153.11750000000001</v>
      </c>
      <c r="H81" s="109">
        <v>3.41</v>
      </c>
      <c r="I81" s="100">
        <f>+J81*K81</f>
        <v>572.02362000000005</v>
      </c>
      <c r="J81" s="97">
        <f>1.9348*365/4</f>
        <v>176.5505</v>
      </c>
      <c r="K81" s="110">
        <v>3.24</v>
      </c>
      <c r="L81" s="101">
        <f t="shared" si="6"/>
        <v>741.42906249999976</v>
      </c>
      <c r="M81" s="98">
        <f t="shared" si="6"/>
        <v>227.66874999999993</v>
      </c>
      <c r="N81" s="111">
        <f>+L81/M81</f>
        <v>3.2566132264529055</v>
      </c>
      <c r="O81" s="102">
        <f>+P81*Q81</f>
        <v>2303.6974999999998</v>
      </c>
      <c r="P81" s="99">
        <f>1.942*365</f>
        <v>708.82999999999993</v>
      </c>
      <c r="Q81" s="113">
        <v>3.25</v>
      </c>
      <c r="R81" s="82" t="s">
        <v>275</v>
      </c>
      <c r="S81" s="115"/>
      <c r="T81" s="82"/>
      <c r="U81" s="82"/>
      <c r="V81" s="82"/>
      <c r="W81" s="82"/>
      <c r="X81" s="82"/>
      <c r="Y81" s="84"/>
      <c r="Z81" s="82"/>
    </row>
    <row r="82" spans="1:26" x14ac:dyDescent="0.3">
      <c r="A82" s="43" t="s">
        <v>44</v>
      </c>
      <c r="B82" s="53">
        <v>2014</v>
      </c>
      <c r="C82" s="104">
        <f>+D82*E82</f>
        <v>575.09171875000004</v>
      </c>
      <c r="D82" s="96">
        <f>1.5875*91.25</f>
        <v>144.859375</v>
      </c>
      <c r="E82" s="108">
        <v>3.97</v>
      </c>
      <c r="F82" s="106">
        <f>+G82*H82</f>
        <v>614.9437875000001</v>
      </c>
      <c r="G82" s="107">
        <f>1.689*365/4</f>
        <v>154.12125</v>
      </c>
      <c r="H82" s="109">
        <v>3.99</v>
      </c>
      <c r="I82" s="100">
        <f>+J82*K82</f>
        <v>573.67050000000006</v>
      </c>
      <c r="J82" s="97">
        <f>1.69*365/4</f>
        <v>154.21250000000001</v>
      </c>
      <c r="K82" s="110">
        <v>3.72</v>
      </c>
      <c r="L82" s="101">
        <f t="shared" si="6"/>
        <v>778.39124374999972</v>
      </c>
      <c r="M82" s="98">
        <f t="shared" si="6"/>
        <v>207.09187499999993</v>
      </c>
      <c r="N82" s="111">
        <f>+L82/M82</f>
        <v>3.7586759198061248</v>
      </c>
      <c r="O82" s="102">
        <f>+P82*Q82</f>
        <v>2542.0972499999998</v>
      </c>
      <c r="P82" s="99">
        <f>1.809*365</f>
        <v>660.28499999999997</v>
      </c>
      <c r="Q82" s="113">
        <v>3.85</v>
      </c>
      <c r="S82" s="115"/>
      <c r="T82" s="82"/>
      <c r="U82" s="82"/>
      <c r="V82" s="82"/>
      <c r="W82" s="82"/>
      <c r="X82" s="82"/>
      <c r="Y82" s="84"/>
      <c r="Z82" s="82"/>
    </row>
    <row r="83" spans="1:26" x14ac:dyDescent="0.3">
      <c r="A83" s="41" t="s">
        <v>44</v>
      </c>
      <c r="B83" s="42">
        <v>2015</v>
      </c>
      <c r="C83" s="188">
        <f>+D83*E83</f>
        <v>436.75170000000003</v>
      </c>
      <c r="D83" s="183">
        <f>1.617*91.25</f>
        <v>147.55125000000001</v>
      </c>
      <c r="E83" s="189">
        <v>2.96</v>
      </c>
      <c r="F83" s="190">
        <f>+G83*H83</f>
        <v>397.39101249999999</v>
      </c>
      <c r="G83" s="184">
        <f>1.607*91.25</f>
        <v>146.63874999999999</v>
      </c>
      <c r="H83" s="191">
        <v>2.71</v>
      </c>
      <c r="I83" s="192">
        <f>+J83*K83</f>
        <v>388.24137500000006</v>
      </c>
      <c r="J83" s="185">
        <f>1.57*91.25</f>
        <v>143.26250000000002</v>
      </c>
      <c r="K83" s="193">
        <v>2.71</v>
      </c>
      <c r="L83" s="194">
        <f t="shared" si="6"/>
        <v>346.70591249999984</v>
      </c>
      <c r="M83" s="186">
        <f>+P83-D83-G83-J83</f>
        <v>141.54750000000004</v>
      </c>
      <c r="N83" s="195">
        <f>+L83/M83</f>
        <v>2.4493962274148235</v>
      </c>
      <c r="O83" s="196">
        <f>+P83*Q83</f>
        <v>1569.09</v>
      </c>
      <c r="P83" s="187">
        <v>579</v>
      </c>
      <c r="Q83" s="197">
        <v>2.71</v>
      </c>
      <c r="R83" s="82"/>
      <c r="S83" s="115"/>
      <c r="T83" s="82"/>
      <c r="U83" s="82"/>
      <c r="V83" s="82"/>
      <c r="W83" s="82"/>
      <c r="X83" s="82"/>
      <c r="Y83" s="84"/>
      <c r="Z83" s="82"/>
    </row>
    <row r="84" spans="1:26" x14ac:dyDescent="0.3">
      <c r="A84" s="131" t="s">
        <v>48</v>
      </c>
      <c r="B84" s="82">
        <v>2007</v>
      </c>
      <c r="C84" s="104"/>
      <c r="D84" s="93"/>
      <c r="E84" s="108"/>
      <c r="F84" s="106"/>
      <c r="G84" s="105"/>
      <c r="H84" s="109"/>
      <c r="I84" s="100"/>
      <c r="J84" s="94"/>
      <c r="K84" s="110"/>
      <c r="L84" s="101"/>
      <c r="M84" s="98"/>
      <c r="N84" s="111"/>
      <c r="O84" s="102"/>
      <c r="P84" s="95"/>
      <c r="Q84" s="112"/>
      <c r="R84" s="82"/>
      <c r="S84" s="115"/>
      <c r="T84" s="82"/>
      <c r="U84" s="82"/>
      <c r="V84" s="82"/>
      <c r="W84" s="82"/>
      <c r="X84" s="82"/>
      <c r="Y84" s="84"/>
      <c r="Z84" s="82"/>
    </row>
    <row r="85" spans="1:26" x14ac:dyDescent="0.3">
      <c r="A85" s="131" t="s">
        <v>48</v>
      </c>
      <c r="B85" s="16">
        <v>2008</v>
      </c>
      <c r="C85" s="104"/>
      <c r="D85" s="93"/>
      <c r="E85" s="108"/>
      <c r="F85" s="106"/>
      <c r="G85" s="105"/>
      <c r="H85" s="109"/>
      <c r="I85" s="100"/>
      <c r="J85" s="94"/>
      <c r="K85" s="110"/>
      <c r="L85" s="101"/>
      <c r="M85" s="98"/>
      <c r="N85" s="111"/>
      <c r="O85" s="102"/>
      <c r="P85" s="95"/>
      <c r="Q85" s="112"/>
      <c r="R85" s="82"/>
      <c r="S85" s="115"/>
      <c r="T85" s="82"/>
      <c r="U85" s="82"/>
      <c r="V85" s="82"/>
      <c r="W85" s="82"/>
      <c r="X85" s="82"/>
      <c r="Y85" s="84"/>
      <c r="Z85" s="82"/>
    </row>
    <row r="86" spans="1:26" x14ac:dyDescent="0.3">
      <c r="A86" s="131" t="s">
        <v>48</v>
      </c>
      <c r="B86" s="53">
        <v>2009</v>
      </c>
      <c r="C86" s="104"/>
      <c r="D86" s="93"/>
      <c r="E86" s="108"/>
      <c r="F86" s="106"/>
      <c r="G86" s="105"/>
      <c r="H86" s="109"/>
      <c r="I86" s="100"/>
      <c r="J86" s="94"/>
      <c r="K86" s="110"/>
      <c r="L86" s="101"/>
      <c r="M86" s="98"/>
      <c r="N86" s="111"/>
      <c r="O86" s="102"/>
      <c r="P86" s="95"/>
      <c r="Q86" s="112"/>
      <c r="R86" s="82"/>
      <c r="S86" s="115"/>
      <c r="T86" s="82"/>
      <c r="U86" s="82"/>
      <c r="V86" s="82"/>
      <c r="W86" s="82"/>
      <c r="X86" s="82"/>
      <c r="Y86" s="84"/>
      <c r="Z86" s="82"/>
    </row>
    <row r="87" spans="1:26" x14ac:dyDescent="0.3">
      <c r="A87" s="131" t="s">
        <v>48</v>
      </c>
      <c r="B87" s="16">
        <v>2010</v>
      </c>
      <c r="C87" s="104"/>
      <c r="D87" s="93"/>
      <c r="E87" s="108"/>
      <c r="F87" s="106"/>
      <c r="G87" s="105"/>
      <c r="H87" s="109"/>
      <c r="I87" s="100"/>
      <c r="J87" s="94"/>
      <c r="K87" s="110"/>
      <c r="L87" s="101"/>
      <c r="M87" s="98"/>
      <c r="N87" s="111"/>
      <c r="O87" s="102"/>
      <c r="P87" s="95"/>
      <c r="Q87" s="112"/>
      <c r="R87" s="82"/>
      <c r="S87" s="115"/>
      <c r="T87" s="82"/>
      <c r="U87" s="82"/>
      <c r="V87" s="82"/>
      <c r="W87" s="82"/>
      <c r="X87" s="82"/>
      <c r="Y87" s="84"/>
      <c r="Z87" s="82"/>
    </row>
    <row r="88" spans="1:26" x14ac:dyDescent="0.3">
      <c r="A88" s="131" t="s">
        <v>48</v>
      </c>
      <c r="B88" s="53">
        <v>2011</v>
      </c>
      <c r="C88" s="104"/>
      <c r="D88" s="93"/>
      <c r="E88" s="108"/>
      <c r="F88" s="106"/>
      <c r="G88" s="105"/>
      <c r="H88" s="109"/>
      <c r="I88" s="100"/>
      <c r="J88" s="94"/>
      <c r="K88" s="110"/>
      <c r="L88" s="101"/>
      <c r="M88" s="98"/>
      <c r="N88" s="111"/>
      <c r="O88" s="102"/>
      <c r="P88" s="95"/>
      <c r="Q88" s="112"/>
      <c r="R88" s="82"/>
      <c r="S88" s="115"/>
      <c r="T88" s="82"/>
      <c r="U88" s="82"/>
      <c r="V88" s="82"/>
      <c r="W88" s="82"/>
      <c r="X88" s="82"/>
      <c r="Y88" s="84"/>
      <c r="Z88" s="82"/>
    </row>
    <row r="89" spans="1:26" x14ac:dyDescent="0.3">
      <c r="A89" s="131" t="s">
        <v>48</v>
      </c>
      <c r="B89" s="16">
        <v>2012</v>
      </c>
      <c r="C89" s="104">
        <f>+D89*E89</f>
        <v>743.48857499999997</v>
      </c>
      <c r="D89" s="93">
        <v>162.33374999999998</v>
      </c>
      <c r="E89" s="108">
        <v>4.58</v>
      </c>
      <c r="F89" s="106">
        <f>+G89*H89</f>
        <v>684.04193750000002</v>
      </c>
      <c r="G89" s="105">
        <v>142.80625000000001</v>
      </c>
      <c r="H89" s="109">
        <v>4.79</v>
      </c>
      <c r="I89" s="100">
        <f>+J89*K89</f>
        <v>719.54822500000012</v>
      </c>
      <c r="J89" s="94">
        <v>146.54750000000001</v>
      </c>
      <c r="K89" s="110">
        <v>4.91</v>
      </c>
      <c r="L89" s="101">
        <f>+M89*N89</f>
        <v>709.38874999999996</v>
      </c>
      <c r="M89" s="98">
        <f>+P89-D89-G89-J89</f>
        <v>141.3125</v>
      </c>
      <c r="N89" s="111">
        <v>5.0199999999999996</v>
      </c>
      <c r="O89" s="102">
        <f>+P89*Q89</f>
        <v>2858.26</v>
      </c>
      <c r="P89" s="95">
        <v>593</v>
      </c>
      <c r="Q89" s="112">
        <v>4.82</v>
      </c>
      <c r="R89" s="82"/>
      <c r="S89" s="115"/>
      <c r="T89" s="82"/>
      <c r="U89" s="82"/>
      <c r="V89" s="82"/>
      <c r="W89" s="82"/>
      <c r="X89" s="82"/>
      <c r="Y89" s="84"/>
      <c r="Z89" s="82"/>
    </row>
    <row r="90" spans="1:26" x14ac:dyDescent="0.3">
      <c r="A90" s="43" t="s">
        <v>48</v>
      </c>
      <c r="B90" s="53">
        <v>2013</v>
      </c>
      <c r="C90" s="104">
        <f>+D90*E90</f>
        <v>512.48737500000004</v>
      </c>
      <c r="D90" s="96">
        <v>132.76875000000001</v>
      </c>
      <c r="E90" s="108">
        <v>3.86</v>
      </c>
      <c r="F90" s="106">
        <f>+G90*H90</f>
        <v>533.47852499999999</v>
      </c>
      <c r="G90" s="107">
        <v>127.93249999999999</v>
      </c>
      <c r="H90" s="109">
        <v>4.17</v>
      </c>
      <c r="I90" s="100">
        <f>+J90*K90</f>
        <v>477.78499999999997</v>
      </c>
      <c r="J90" s="97">
        <v>119.44624999999999</v>
      </c>
      <c r="K90" s="110">
        <v>4</v>
      </c>
      <c r="L90" s="101">
        <f>+M90*N90</f>
        <v>481.09984999999995</v>
      </c>
      <c r="M90" s="98">
        <f>+P90-D90-G90-J90</f>
        <v>110.85249999999999</v>
      </c>
      <c r="N90" s="111">
        <v>4.34</v>
      </c>
      <c r="O90" s="102">
        <f>+P90*Q90</f>
        <v>2008.1899999999998</v>
      </c>
      <c r="P90" s="99">
        <v>491</v>
      </c>
      <c r="Q90" s="113">
        <v>4.09</v>
      </c>
      <c r="R90" s="82" t="s">
        <v>190</v>
      </c>
      <c r="S90" s="115"/>
      <c r="T90" s="82"/>
      <c r="U90" s="82"/>
      <c r="V90" s="82"/>
      <c r="W90" s="82"/>
      <c r="X90" s="82"/>
      <c r="Y90" s="84"/>
      <c r="Z90" s="82"/>
    </row>
    <row r="91" spans="1:26" x14ac:dyDescent="0.3">
      <c r="A91" s="43" t="s">
        <v>48</v>
      </c>
      <c r="B91" s="53">
        <v>2014</v>
      </c>
      <c r="C91" s="104">
        <f>+D91*E91</f>
        <v>659.06407500000012</v>
      </c>
      <c r="D91" s="96">
        <v>113.24125000000001</v>
      </c>
      <c r="E91" s="108">
        <v>5.82</v>
      </c>
      <c r="F91" s="106">
        <f>+G91*H91</f>
        <v>401.33940000000001</v>
      </c>
      <c r="G91" s="107">
        <v>98.367500000000007</v>
      </c>
      <c r="H91" s="109">
        <v>4.08</v>
      </c>
      <c r="I91" s="100">
        <f>+J91*K91</f>
        <v>303.38343750000001</v>
      </c>
      <c r="J91" s="97">
        <v>75.28125</v>
      </c>
      <c r="K91" s="110">
        <v>4.03</v>
      </c>
      <c r="L91" s="101">
        <f>+M91*N91</f>
        <v>283.33759999999995</v>
      </c>
      <c r="M91" s="98">
        <f>+P91-D91-G91-J91</f>
        <v>68.109999999999985</v>
      </c>
      <c r="N91" s="111">
        <v>4.16</v>
      </c>
      <c r="O91" s="102">
        <f>+P91*Q91</f>
        <v>1629.45</v>
      </c>
      <c r="P91" s="99">
        <v>355</v>
      </c>
      <c r="Q91" s="113">
        <v>4.59</v>
      </c>
      <c r="R91" s="82" t="s">
        <v>284</v>
      </c>
      <c r="S91" s="115"/>
      <c r="T91" s="82"/>
      <c r="U91" s="82"/>
      <c r="V91" s="82"/>
      <c r="W91" s="82"/>
      <c r="X91" s="82"/>
      <c r="Y91" s="84"/>
      <c r="Z91" s="82"/>
    </row>
    <row r="92" spans="1:26" x14ac:dyDescent="0.3">
      <c r="A92" s="41" t="s">
        <v>48</v>
      </c>
      <c r="B92" s="42">
        <v>2015</v>
      </c>
      <c r="C92" s="188">
        <f>+D92*E92</f>
        <v>317.97157499999997</v>
      </c>
      <c r="D92" s="183">
        <f>0.729*91.25</f>
        <v>66.521249999999995</v>
      </c>
      <c r="E92" s="189">
        <v>4.78</v>
      </c>
      <c r="F92" s="190">
        <f>+G92*H92</f>
        <v>220.66440000000003</v>
      </c>
      <c r="G92" s="184">
        <f>0.687*91.25</f>
        <v>62.688750000000006</v>
      </c>
      <c r="H92" s="191">
        <v>3.52</v>
      </c>
      <c r="I92" s="192">
        <f>+J92*K92</f>
        <v>227.15866250000002</v>
      </c>
      <c r="J92" s="185">
        <f>0.671*91.25</f>
        <v>61.228750000000005</v>
      </c>
      <c r="K92" s="193">
        <v>3.71</v>
      </c>
      <c r="L92" s="194">
        <f>+M92*N92</f>
        <v>178.40287499999999</v>
      </c>
      <c r="M92" s="186">
        <f>0.57*91.25</f>
        <v>52.012499999999996</v>
      </c>
      <c r="N92" s="195">
        <v>3.43</v>
      </c>
      <c r="O92" s="196">
        <f>+P92*Q92</f>
        <v>937.49</v>
      </c>
      <c r="P92" s="187">
        <v>241</v>
      </c>
      <c r="Q92" s="197">
        <v>3.89</v>
      </c>
      <c r="R92" s="82"/>
      <c r="S92" s="115"/>
      <c r="T92" s="82"/>
      <c r="U92" s="82"/>
      <c r="V92" s="82"/>
      <c r="W92" s="82"/>
      <c r="X92" s="82"/>
      <c r="Y92" s="84"/>
      <c r="Z92" s="82"/>
    </row>
    <row r="93" spans="1:26" x14ac:dyDescent="0.3">
      <c r="A93" s="131" t="s">
        <v>51</v>
      </c>
      <c r="B93" s="82">
        <v>2007</v>
      </c>
      <c r="C93" s="104"/>
      <c r="D93" s="93"/>
      <c r="E93" s="108"/>
      <c r="F93" s="106"/>
      <c r="G93" s="105"/>
      <c r="H93" s="109"/>
      <c r="I93" s="100"/>
      <c r="J93" s="94"/>
      <c r="K93" s="110"/>
      <c r="L93" s="101"/>
      <c r="M93" s="98"/>
      <c r="N93" s="111"/>
      <c r="O93" s="102"/>
      <c r="P93" s="95"/>
      <c r="Q93" s="112"/>
      <c r="R93" s="82"/>
      <c r="S93" s="115"/>
      <c r="T93" s="82"/>
      <c r="U93" s="82"/>
      <c r="V93" s="82"/>
      <c r="W93" s="82"/>
      <c r="X93" s="82"/>
      <c r="Y93" s="84"/>
      <c r="Z93" s="82"/>
    </row>
    <row r="94" spans="1:26" x14ac:dyDescent="0.3">
      <c r="A94" s="131" t="s">
        <v>51</v>
      </c>
      <c r="B94" s="16">
        <v>2008</v>
      </c>
      <c r="C94" s="104"/>
      <c r="D94" s="93"/>
      <c r="E94" s="108"/>
      <c r="F94" s="106"/>
      <c r="G94" s="105"/>
      <c r="H94" s="109"/>
      <c r="I94" s="100"/>
      <c r="J94" s="94"/>
      <c r="K94" s="110"/>
      <c r="L94" s="101"/>
      <c r="M94" s="98"/>
      <c r="N94" s="111"/>
      <c r="O94" s="102"/>
      <c r="P94" s="95"/>
      <c r="Q94" s="112"/>
      <c r="R94" s="82"/>
      <c r="S94" s="115"/>
      <c r="T94" s="82"/>
      <c r="U94" s="82"/>
      <c r="V94" s="82"/>
      <c r="W94" s="82"/>
      <c r="X94" s="82"/>
      <c r="Y94" s="84"/>
      <c r="Z94" s="82"/>
    </row>
    <row r="95" spans="1:26" x14ac:dyDescent="0.3">
      <c r="A95" s="131" t="s">
        <v>51</v>
      </c>
      <c r="B95" s="53">
        <v>2009</v>
      </c>
      <c r="C95" s="104"/>
      <c r="D95" s="93"/>
      <c r="E95" s="108"/>
      <c r="F95" s="106"/>
      <c r="G95" s="105"/>
      <c r="H95" s="109"/>
      <c r="I95" s="100"/>
      <c r="J95" s="94"/>
      <c r="K95" s="110"/>
      <c r="L95" s="101"/>
      <c r="M95" s="98"/>
      <c r="N95" s="111"/>
      <c r="O95" s="102"/>
      <c r="P95" s="95"/>
      <c r="Q95" s="112"/>
      <c r="R95" s="82"/>
      <c r="S95" s="115"/>
      <c r="T95" s="82"/>
      <c r="U95" s="82"/>
      <c r="V95" s="82"/>
      <c r="W95" s="82"/>
      <c r="X95" s="82"/>
      <c r="Y95" s="84"/>
      <c r="Z95" s="82"/>
    </row>
    <row r="96" spans="1:26" x14ac:dyDescent="0.3">
      <c r="A96" s="131" t="s">
        <v>51</v>
      </c>
      <c r="B96" s="16">
        <v>2010</v>
      </c>
      <c r="C96" s="104"/>
      <c r="D96" s="93"/>
      <c r="E96" s="108"/>
      <c r="F96" s="106"/>
      <c r="G96" s="105"/>
      <c r="H96" s="109"/>
      <c r="I96" s="100"/>
      <c r="J96" s="94"/>
      <c r="K96" s="110"/>
      <c r="L96" s="101"/>
      <c r="M96" s="98"/>
      <c r="N96" s="111"/>
      <c r="O96" s="102"/>
      <c r="P96" s="95"/>
      <c r="Q96" s="112"/>
      <c r="R96" s="82"/>
      <c r="S96" s="115"/>
      <c r="T96" s="82"/>
      <c r="U96" s="82"/>
      <c r="V96" s="82"/>
      <c r="W96" s="82"/>
      <c r="X96" s="82"/>
      <c r="Y96" s="84"/>
      <c r="Z96" s="82"/>
    </row>
    <row r="97" spans="1:34" x14ac:dyDescent="0.3">
      <c r="A97" s="131" t="s">
        <v>51</v>
      </c>
      <c r="B97" s="53">
        <v>2011</v>
      </c>
      <c r="C97" s="104"/>
      <c r="D97" s="93"/>
      <c r="E97" s="108"/>
      <c r="F97" s="106"/>
      <c r="G97" s="105"/>
      <c r="H97" s="109"/>
      <c r="I97" s="100"/>
      <c r="J97" s="94"/>
      <c r="K97" s="110"/>
      <c r="L97" s="101"/>
      <c r="M97" s="98"/>
      <c r="N97" s="111"/>
      <c r="O97" s="102"/>
      <c r="P97" s="95"/>
      <c r="Q97" s="112"/>
      <c r="R97" s="82"/>
      <c r="S97" s="115"/>
      <c r="T97" s="82"/>
      <c r="U97" s="82"/>
      <c r="V97" s="82"/>
      <c r="W97" s="82"/>
      <c r="X97" s="82"/>
      <c r="Y97" s="84"/>
      <c r="Z97" s="82"/>
    </row>
    <row r="98" spans="1:34" x14ac:dyDescent="0.3">
      <c r="A98" s="131" t="s">
        <v>51</v>
      </c>
      <c r="B98" s="16">
        <v>2012</v>
      </c>
      <c r="C98" s="104">
        <f>+D98*E98</f>
        <v>238.39245</v>
      </c>
      <c r="D98" s="93">
        <f>1.062*91.25</f>
        <v>96.907499999999999</v>
      </c>
      <c r="E98" s="108">
        <v>2.46</v>
      </c>
      <c r="F98" s="106">
        <f>+G98*H98</f>
        <v>204.062375</v>
      </c>
      <c r="G98" s="105">
        <f>1.07*91.25</f>
        <v>97.637500000000003</v>
      </c>
      <c r="H98" s="109">
        <v>2.09</v>
      </c>
      <c r="I98" s="100">
        <f>+J98*K98</f>
        <v>243.402075</v>
      </c>
      <c r="J98" s="94">
        <f>1.022*91.25</f>
        <v>93.257500000000007</v>
      </c>
      <c r="K98" s="110">
        <v>2.61</v>
      </c>
      <c r="L98" s="101">
        <f t="shared" ref="L98:M101" si="7">+O98-C98-F98-I98</f>
        <v>265.60609999999997</v>
      </c>
      <c r="M98" s="98">
        <f t="shared" si="7"/>
        <v>89.607500000000059</v>
      </c>
      <c r="N98" s="111">
        <f>+L98/M98</f>
        <v>2.9641056831180403</v>
      </c>
      <c r="O98" s="102">
        <v>951.46299999999997</v>
      </c>
      <c r="P98" s="95">
        <f>1.034*365</f>
        <v>377.41</v>
      </c>
      <c r="Q98" s="112">
        <v>2.5099999999999998</v>
      </c>
      <c r="R98" s="82"/>
      <c r="S98" s="115"/>
    </row>
    <row r="99" spans="1:34" x14ac:dyDescent="0.3">
      <c r="A99" s="43" t="s">
        <v>51</v>
      </c>
      <c r="B99" s="53">
        <v>2013</v>
      </c>
      <c r="C99" s="104">
        <f>+D99*E99</f>
        <v>262.50070000000005</v>
      </c>
      <c r="D99" s="96">
        <f>0.934*91.25</f>
        <v>85.227500000000006</v>
      </c>
      <c r="E99" s="108">
        <v>3.08</v>
      </c>
      <c r="F99" s="106">
        <f>+G99*H99</f>
        <v>315.85640000000001</v>
      </c>
      <c r="G99" s="107">
        <f>0.928*365/4</f>
        <v>84.68</v>
      </c>
      <c r="H99" s="109">
        <v>3.73</v>
      </c>
      <c r="I99" s="100">
        <f>+J99*K99</f>
        <v>261.68766249999999</v>
      </c>
      <c r="J99" s="97">
        <f>0.899*365/4</f>
        <v>82.033749999999998</v>
      </c>
      <c r="K99" s="110">
        <v>3.19</v>
      </c>
      <c r="L99" s="101">
        <f t="shared" si="7"/>
        <v>260.76323749999995</v>
      </c>
      <c r="M99" s="98">
        <f t="shared" si="7"/>
        <v>79.478749999999991</v>
      </c>
      <c r="N99" s="111">
        <f>+L99/M99</f>
        <v>3.2809176981268573</v>
      </c>
      <c r="O99" s="102">
        <v>1100.808</v>
      </c>
      <c r="P99" s="99">
        <f>0.908*365</f>
        <v>331.42</v>
      </c>
      <c r="Q99" s="113">
        <v>3.32</v>
      </c>
      <c r="R99" s="82"/>
      <c r="S99" s="115"/>
    </row>
    <row r="100" spans="1:34" x14ac:dyDescent="0.3">
      <c r="A100" s="43" t="s">
        <v>51</v>
      </c>
      <c r="B100" s="53">
        <v>2014</v>
      </c>
      <c r="C100" s="104">
        <f>+D100*E100</f>
        <v>404.62439999999998</v>
      </c>
      <c r="D100" s="96">
        <f>0.894*91.25</f>
        <v>81.577500000000001</v>
      </c>
      <c r="E100" s="108">
        <v>4.96</v>
      </c>
      <c r="F100" s="106">
        <f>+G100*H100</f>
        <v>349.44187499999998</v>
      </c>
      <c r="G100" s="107">
        <f>0.925*365/4</f>
        <v>84.40625</v>
      </c>
      <c r="H100" s="109">
        <v>4.1399999999999997</v>
      </c>
      <c r="I100" s="100">
        <f>+J100*K100</f>
        <v>298.81455</v>
      </c>
      <c r="J100" s="97">
        <f>0.941*365/4</f>
        <v>85.866249999999994</v>
      </c>
      <c r="K100" s="110">
        <v>3.48</v>
      </c>
      <c r="L100" s="101">
        <f t="shared" si="7"/>
        <v>266.81317500000029</v>
      </c>
      <c r="M100" s="98">
        <f t="shared" si="7"/>
        <v>83.950000000000031</v>
      </c>
      <c r="N100" s="111">
        <f>+L100/M100</f>
        <v>3.1782391304347848</v>
      </c>
      <c r="O100" s="102">
        <f>+P100*Q100</f>
        <v>1319.6940000000002</v>
      </c>
      <c r="P100" s="99">
        <f>0.92*365</f>
        <v>335.8</v>
      </c>
      <c r="Q100" s="113">
        <v>3.93</v>
      </c>
      <c r="R100" s="170" t="s">
        <v>167</v>
      </c>
      <c r="S100" s="115"/>
    </row>
    <row r="101" spans="1:34" x14ac:dyDescent="0.3">
      <c r="A101" s="41" t="s">
        <v>51</v>
      </c>
      <c r="B101" s="42">
        <v>2015</v>
      </c>
      <c r="C101" s="188">
        <f>+D101*E101</f>
        <v>187.45943750000001</v>
      </c>
      <c r="D101" s="183">
        <f>0.905*91.25</f>
        <v>82.581249999999997</v>
      </c>
      <c r="E101" s="189">
        <v>2.27</v>
      </c>
      <c r="F101" s="190">
        <f>+G101*H101</f>
        <v>171.55091250000001</v>
      </c>
      <c r="G101" s="184">
        <f>0.891*91.25</f>
        <v>81.303750000000008</v>
      </c>
      <c r="H101" s="191">
        <v>2.11</v>
      </c>
      <c r="I101" s="192">
        <f>+J101*K101</f>
        <v>165.48735000000002</v>
      </c>
      <c r="J101" s="185">
        <f>0.889*91.25</f>
        <v>81.121250000000003</v>
      </c>
      <c r="K101" s="193">
        <v>2.04</v>
      </c>
      <c r="L101" s="194">
        <f t="shared" si="7"/>
        <v>112.58059999999998</v>
      </c>
      <c r="M101" s="186">
        <f t="shared" si="7"/>
        <v>78.383749999999964</v>
      </c>
      <c r="N101" s="195">
        <f>+L101/M101</f>
        <v>1.4362747380675207</v>
      </c>
      <c r="O101" s="196">
        <f>+P101*Q101</f>
        <v>637.07830000000001</v>
      </c>
      <c r="P101" s="187">
        <f>0.886*365</f>
        <v>323.39</v>
      </c>
      <c r="Q101" s="197">
        <v>1.97</v>
      </c>
      <c r="R101" s="82"/>
      <c r="S101" s="115"/>
    </row>
    <row r="102" spans="1:34" x14ac:dyDescent="0.3">
      <c r="A102" s="131" t="s">
        <v>271</v>
      </c>
      <c r="B102" s="82">
        <v>2007</v>
      </c>
      <c r="C102" s="104"/>
      <c r="D102" s="93"/>
      <c r="E102" s="108"/>
      <c r="F102" s="106"/>
      <c r="G102" s="105"/>
      <c r="H102" s="109"/>
      <c r="I102" s="100"/>
      <c r="J102" s="94"/>
      <c r="K102" s="110"/>
      <c r="L102" s="101"/>
      <c r="M102" s="98"/>
      <c r="N102" s="111"/>
      <c r="O102" s="102"/>
      <c r="P102" s="95"/>
      <c r="Q102" s="112"/>
      <c r="R102" s="82"/>
      <c r="S102" s="115"/>
      <c r="T102" s="82"/>
      <c r="U102" s="82"/>
      <c r="V102" s="82"/>
      <c r="W102" s="82"/>
      <c r="X102" s="82"/>
      <c r="Y102" s="84"/>
      <c r="Z102" s="82"/>
    </row>
    <row r="103" spans="1:34" x14ac:dyDescent="0.3">
      <c r="A103" s="131" t="s">
        <v>271</v>
      </c>
      <c r="B103" s="16">
        <v>2008</v>
      </c>
      <c r="C103" s="104"/>
      <c r="D103" s="93"/>
      <c r="E103" s="108"/>
      <c r="F103" s="106"/>
      <c r="G103" s="105"/>
      <c r="H103" s="109"/>
      <c r="I103" s="100"/>
      <c r="J103" s="94"/>
      <c r="K103" s="110"/>
      <c r="L103" s="101"/>
      <c r="M103" s="98"/>
      <c r="N103" s="111"/>
      <c r="O103" s="102"/>
      <c r="P103" s="95"/>
      <c r="Q103" s="112"/>
      <c r="R103" s="82"/>
      <c r="S103" s="115"/>
      <c r="T103" s="82"/>
      <c r="U103" s="82"/>
      <c r="V103" s="82"/>
      <c r="W103" s="82"/>
      <c r="X103" s="82"/>
      <c r="Y103" s="84"/>
      <c r="Z103" s="82"/>
    </row>
    <row r="104" spans="1:34" x14ac:dyDescent="0.3">
      <c r="A104" s="131" t="s">
        <v>271</v>
      </c>
      <c r="B104" s="53">
        <v>2009</v>
      </c>
      <c r="C104" s="104"/>
      <c r="D104" s="93"/>
      <c r="E104" s="108"/>
      <c r="F104" s="106"/>
      <c r="G104" s="105"/>
      <c r="H104" s="109"/>
      <c r="I104" s="100"/>
      <c r="J104" s="94"/>
      <c r="K104" s="110"/>
      <c r="L104" s="101"/>
      <c r="M104" s="98"/>
      <c r="N104" s="111"/>
      <c r="O104" s="102"/>
      <c r="P104" s="95"/>
      <c r="Q104" s="112"/>
      <c r="R104" s="82"/>
      <c r="S104" s="115"/>
      <c r="T104" s="82"/>
      <c r="U104" s="82"/>
      <c r="V104" s="82"/>
      <c r="W104" s="82"/>
      <c r="X104" s="82"/>
      <c r="Y104" s="84"/>
      <c r="Z104" s="82"/>
    </row>
    <row r="105" spans="1:34" x14ac:dyDescent="0.3">
      <c r="A105" s="131" t="s">
        <v>271</v>
      </c>
      <c r="B105" s="16">
        <v>2010</v>
      </c>
      <c r="C105" s="104"/>
      <c r="D105" s="93"/>
      <c r="E105" s="108"/>
      <c r="F105" s="106"/>
      <c r="G105" s="105"/>
      <c r="H105" s="109"/>
      <c r="I105" s="100"/>
      <c r="J105" s="94"/>
      <c r="K105" s="110"/>
      <c r="L105" s="101"/>
      <c r="M105" s="98"/>
      <c r="N105" s="111"/>
      <c r="O105" s="102"/>
      <c r="P105" s="95"/>
      <c r="Q105" s="112"/>
      <c r="R105" s="82"/>
      <c r="S105" s="115"/>
      <c r="T105" s="82"/>
      <c r="U105" s="82"/>
      <c r="V105" s="82"/>
      <c r="W105" s="82"/>
      <c r="X105" s="82"/>
      <c r="Y105" s="84"/>
      <c r="Z105" s="82"/>
    </row>
    <row r="106" spans="1:34" x14ac:dyDescent="0.3">
      <c r="A106" s="131" t="s">
        <v>271</v>
      </c>
      <c r="B106" s="53">
        <v>2011</v>
      </c>
      <c r="C106" s="104"/>
      <c r="D106" s="93"/>
      <c r="E106" s="108"/>
      <c r="F106" s="106"/>
      <c r="G106" s="105"/>
      <c r="H106" s="109"/>
      <c r="I106" s="100"/>
      <c r="J106" s="94"/>
      <c r="K106" s="110"/>
      <c r="L106" s="101"/>
      <c r="M106" s="98"/>
      <c r="N106" s="111"/>
      <c r="O106" s="102"/>
      <c r="P106" s="95"/>
      <c r="Q106" s="112"/>
      <c r="R106" s="82"/>
      <c r="S106" s="115"/>
      <c r="T106" s="82" t="s">
        <v>56</v>
      </c>
      <c r="U106" s="82"/>
      <c r="V106" s="82"/>
      <c r="W106" s="82"/>
      <c r="X106" s="82"/>
      <c r="Y106" s="84"/>
      <c r="Z106" s="82"/>
    </row>
    <row r="107" spans="1:34" x14ac:dyDescent="0.3">
      <c r="A107" s="131" t="s">
        <v>271</v>
      </c>
      <c r="B107" s="16">
        <v>2012</v>
      </c>
      <c r="C107" s="104"/>
      <c r="D107" s="93"/>
      <c r="E107" s="108"/>
      <c r="F107" s="106"/>
      <c r="G107" s="105"/>
      <c r="H107" s="109"/>
      <c r="I107" s="100"/>
      <c r="J107" s="94"/>
      <c r="K107" s="110"/>
      <c r="L107" s="101"/>
      <c r="M107" s="98"/>
      <c r="N107" s="111"/>
      <c r="O107" s="102"/>
      <c r="P107" s="95"/>
      <c r="Q107" s="112"/>
      <c r="R107" s="82"/>
      <c r="S107" s="115"/>
      <c r="T107" s="104">
        <f>+U107*V107</f>
        <v>216.13109999999998</v>
      </c>
      <c r="U107" s="93">
        <f>0.834*91.25</f>
        <v>76.102499999999992</v>
      </c>
      <c r="V107" s="108">
        <v>2.84</v>
      </c>
      <c r="W107" s="106">
        <f>+X107*Y107</f>
        <v>159.24493749999996</v>
      </c>
      <c r="X107" s="105">
        <f>0.835*91.25</f>
        <v>76.193749999999994</v>
      </c>
      <c r="Y107" s="109">
        <v>2.09</v>
      </c>
      <c r="Z107" s="100">
        <f>+AA107*AB107</f>
        <v>182.6241</v>
      </c>
      <c r="AA107" s="94">
        <f>0.807*91.25</f>
        <v>73.638750000000002</v>
      </c>
      <c r="AB107" s="110">
        <v>2.48</v>
      </c>
      <c r="AC107" s="101">
        <f t="shared" ref="AC107:AD109" si="8">+AF107-T107-W107-Z107</f>
        <v>-46.56213749999992</v>
      </c>
      <c r="AD107" s="98">
        <f t="shared" si="8"/>
        <v>-19.709999999999994</v>
      </c>
      <c r="AE107" s="111">
        <f>+AC107/AD107</f>
        <v>2.3623611111111078</v>
      </c>
      <c r="AF107" s="102">
        <f>+AG107*AH107</f>
        <v>511.43799999999999</v>
      </c>
      <c r="AG107" s="95">
        <f>0.565*365</f>
        <v>206.22499999999999</v>
      </c>
      <c r="AH107" s="112">
        <v>2.48</v>
      </c>
    </row>
    <row r="108" spans="1:34" x14ac:dyDescent="0.3">
      <c r="A108" s="131" t="s">
        <v>271</v>
      </c>
      <c r="B108" s="53">
        <v>2013</v>
      </c>
      <c r="C108" s="104"/>
      <c r="D108" s="96"/>
      <c r="E108" s="108"/>
      <c r="F108" s="106"/>
      <c r="G108" s="107"/>
      <c r="H108" s="109"/>
      <c r="I108" s="100"/>
      <c r="J108" s="97"/>
      <c r="K108" s="110"/>
      <c r="L108" s="101"/>
      <c r="M108" s="98"/>
      <c r="N108" s="111"/>
      <c r="O108" s="102"/>
      <c r="P108" s="99"/>
      <c r="Q108" s="113"/>
      <c r="R108" s="82"/>
      <c r="S108" s="115"/>
      <c r="T108" s="104">
        <f>+U108*V108</f>
        <v>230.17995000000002</v>
      </c>
      <c r="U108" s="96">
        <f>0.819*91.25</f>
        <v>74.733750000000001</v>
      </c>
      <c r="V108" s="108">
        <v>3.08</v>
      </c>
      <c r="W108" s="106">
        <f>+X108*Y108</f>
        <v>277.11712499999999</v>
      </c>
      <c r="X108" s="107">
        <f>0.795*91.25</f>
        <v>72.543750000000003</v>
      </c>
      <c r="Y108" s="109">
        <v>3.82</v>
      </c>
      <c r="Z108" s="100">
        <f>+AA108*AB108</f>
        <v>233.0406375</v>
      </c>
      <c r="AA108" s="97">
        <f>0.781*91.25</f>
        <v>71.266249999999999</v>
      </c>
      <c r="AB108" s="110">
        <v>3.27</v>
      </c>
      <c r="AC108" s="101">
        <f t="shared" si="8"/>
        <v>-119.7793125</v>
      </c>
      <c r="AD108" s="98">
        <f t="shared" si="8"/>
        <v>-25.823750000000004</v>
      </c>
      <c r="AE108" s="111">
        <f>+AC108/AD108</f>
        <v>4.6383392226148406</v>
      </c>
      <c r="AF108" s="102">
        <f>+AG108*AH108</f>
        <v>620.55840000000001</v>
      </c>
      <c r="AG108" s="99">
        <f>0.528*365</f>
        <v>192.72</v>
      </c>
      <c r="AH108" s="113">
        <v>3.22</v>
      </c>
    </row>
    <row r="109" spans="1:34" x14ac:dyDescent="0.3">
      <c r="A109" s="131" t="s">
        <v>271</v>
      </c>
      <c r="B109" s="53">
        <v>2014</v>
      </c>
      <c r="C109" s="104"/>
      <c r="D109" s="96"/>
      <c r="E109" s="108"/>
      <c r="F109" s="106"/>
      <c r="G109" s="107"/>
      <c r="H109" s="109"/>
      <c r="I109" s="100"/>
      <c r="J109" s="97"/>
      <c r="K109" s="110"/>
      <c r="L109" s="101"/>
      <c r="M109" s="98"/>
      <c r="N109" s="111"/>
      <c r="O109" s="102"/>
      <c r="P109" s="99"/>
      <c r="Q109" s="113"/>
      <c r="R109" s="82"/>
      <c r="S109" s="115"/>
      <c r="T109" s="104">
        <f>+U109*V109</f>
        <v>315.26145000000002</v>
      </c>
      <c r="U109" s="96">
        <f>0.756*365/4</f>
        <v>68.984999999999999</v>
      </c>
      <c r="V109" s="108">
        <v>4.57</v>
      </c>
      <c r="W109" s="106">
        <f>+X109*Y109</f>
        <v>281.19600000000003</v>
      </c>
      <c r="X109" s="107">
        <f>0.72*91.25</f>
        <v>65.7</v>
      </c>
      <c r="Y109" s="109">
        <v>4.28</v>
      </c>
      <c r="Z109" s="100">
        <f>+AA109*AB109</f>
        <v>254.03270000000001</v>
      </c>
      <c r="AA109" s="97">
        <f>0.712*91.25</f>
        <v>64.97</v>
      </c>
      <c r="AB109" s="110">
        <v>3.91</v>
      </c>
      <c r="AC109" s="101">
        <f t="shared" si="8"/>
        <v>-160.74235000000007</v>
      </c>
      <c r="AD109" s="98">
        <f t="shared" si="8"/>
        <v>-25.91500000000002</v>
      </c>
      <c r="AE109" s="111">
        <f>+AC109/AD109</f>
        <v>6.2026760563380261</v>
      </c>
      <c r="AF109" s="102">
        <f>+AG109*AH109</f>
        <v>689.74779999999998</v>
      </c>
      <c r="AG109" s="99">
        <f>0.476*365</f>
        <v>173.73999999999998</v>
      </c>
      <c r="AH109" s="113">
        <v>3.97</v>
      </c>
    </row>
    <row r="110" spans="1:34" x14ac:dyDescent="0.3">
      <c r="A110" s="268" t="s">
        <v>271</v>
      </c>
      <c r="B110" s="42">
        <v>2015</v>
      </c>
      <c r="C110" s="188"/>
      <c r="D110" s="183"/>
      <c r="E110" s="189"/>
      <c r="F110" s="190"/>
      <c r="G110" s="184"/>
      <c r="H110" s="191"/>
      <c r="I110" s="192"/>
      <c r="J110" s="185"/>
      <c r="K110" s="193"/>
      <c r="L110" s="194"/>
      <c r="M110" s="186"/>
      <c r="N110" s="195"/>
      <c r="O110" s="196"/>
      <c r="P110" s="187"/>
      <c r="Q110" s="197"/>
      <c r="R110" s="82"/>
      <c r="S110" s="115"/>
      <c r="T110" s="188"/>
      <c r="U110" s="183"/>
      <c r="V110" s="189"/>
      <c r="W110" s="190"/>
      <c r="X110" s="184"/>
      <c r="Y110" s="191"/>
      <c r="Z110" s="192"/>
      <c r="AA110" s="185"/>
      <c r="AB110" s="193"/>
      <c r="AC110" s="194"/>
      <c r="AD110" s="186"/>
      <c r="AE110" s="195"/>
      <c r="AF110" s="196"/>
      <c r="AG110" s="187"/>
      <c r="AH110" s="197"/>
    </row>
    <row r="111" spans="1:34" x14ac:dyDescent="0.3">
      <c r="A111" s="131" t="s">
        <v>272</v>
      </c>
      <c r="B111" s="82">
        <v>2007</v>
      </c>
      <c r="C111" s="104"/>
      <c r="D111" s="93"/>
      <c r="E111" s="108"/>
      <c r="F111" s="106"/>
      <c r="G111" s="105"/>
      <c r="H111" s="109"/>
      <c r="I111" s="100"/>
      <c r="J111" s="94"/>
      <c r="K111" s="110"/>
      <c r="L111" s="101"/>
      <c r="M111" s="98"/>
      <c r="N111" s="111"/>
      <c r="O111" s="102"/>
      <c r="P111" s="95"/>
      <c r="Q111" s="112"/>
      <c r="R111" s="82"/>
      <c r="S111" s="115"/>
      <c r="T111" s="82"/>
      <c r="U111" s="82"/>
      <c r="V111" s="82"/>
      <c r="W111" s="82"/>
      <c r="X111" s="82"/>
      <c r="Y111" s="84"/>
      <c r="Z111" s="82"/>
    </row>
    <row r="112" spans="1:34" x14ac:dyDescent="0.3">
      <c r="A112" s="131" t="s">
        <v>272</v>
      </c>
      <c r="B112" s="16">
        <v>2008</v>
      </c>
      <c r="C112" s="104"/>
      <c r="D112" s="93"/>
      <c r="E112" s="108"/>
      <c r="F112" s="106"/>
      <c r="G112" s="105"/>
      <c r="H112" s="109"/>
      <c r="I112" s="100"/>
      <c r="J112" s="94"/>
      <c r="K112" s="110"/>
      <c r="L112" s="101"/>
      <c r="M112" s="98"/>
      <c r="N112" s="111"/>
      <c r="O112" s="102"/>
      <c r="P112" s="95"/>
      <c r="Q112" s="112"/>
      <c r="R112" s="82"/>
      <c r="S112" s="115"/>
      <c r="T112" s="82"/>
      <c r="U112" s="82"/>
      <c r="V112" s="82"/>
      <c r="W112" s="82"/>
      <c r="X112" s="82"/>
      <c r="Y112" s="84"/>
      <c r="Z112" s="82"/>
    </row>
    <row r="113" spans="1:26" x14ac:dyDescent="0.3">
      <c r="A113" s="131" t="s">
        <v>272</v>
      </c>
      <c r="B113" s="53">
        <v>2009</v>
      </c>
      <c r="C113" s="104"/>
      <c r="D113" s="93"/>
      <c r="E113" s="108"/>
      <c r="F113" s="106"/>
      <c r="G113" s="105"/>
      <c r="H113" s="109"/>
      <c r="I113" s="100"/>
      <c r="J113" s="94"/>
      <c r="K113" s="110"/>
      <c r="L113" s="101"/>
      <c r="M113" s="98"/>
      <c r="N113" s="111"/>
      <c r="O113" s="102"/>
      <c r="P113" s="95"/>
      <c r="Q113" s="112"/>
      <c r="R113" s="82"/>
      <c r="S113" s="115"/>
      <c r="T113" s="82"/>
      <c r="U113" s="82"/>
      <c r="V113" s="82"/>
      <c r="W113" s="82"/>
      <c r="X113" s="82"/>
      <c r="Y113" s="84"/>
      <c r="Z113" s="82"/>
    </row>
    <row r="114" spans="1:26" x14ac:dyDescent="0.3">
      <c r="A114" s="131" t="s">
        <v>272</v>
      </c>
      <c r="B114" s="16">
        <v>2010</v>
      </c>
      <c r="C114" s="104"/>
      <c r="D114" s="93"/>
      <c r="E114" s="108"/>
      <c r="F114" s="106"/>
      <c r="G114" s="105"/>
      <c r="H114" s="109"/>
      <c r="I114" s="100"/>
      <c r="J114" s="94"/>
      <c r="K114" s="110"/>
      <c r="L114" s="101"/>
      <c r="M114" s="98"/>
      <c r="N114" s="111"/>
      <c r="O114" s="102"/>
      <c r="P114" s="95"/>
      <c r="Q114" s="112"/>
      <c r="R114" s="82"/>
      <c r="S114" s="115"/>
      <c r="T114" s="82"/>
      <c r="U114" s="82"/>
      <c r="V114" s="82"/>
      <c r="W114" s="82"/>
      <c r="X114" s="82"/>
      <c r="Y114" s="84"/>
      <c r="Z114" s="82"/>
    </row>
    <row r="115" spans="1:26" x14ac:dyDescent="0.3">
      <c r="A115" s="131" t="s">
        <v>272</v>
      </c>
      <c r="B115" s="53">
        <v>2011</v>
      </c>
      <c r="C115" s="104"/>
      <c r="D115" s="93"/>
      <c r="E115" s="108"/>
      <c r="F115" s="106"/>
      <c r="G115" s="105"/>
      <c r="H115" s="109"/>
      <c r="I115" s="100"/>
      <c r="J115" s="94"/>
      <c r="K115" s="110"/>
      <c r="L115" s="101"/>
      <c r="M115" s="98"/>
      <c r="N115" s="111"/>
      <c r="O115" s="102"/>
      <c r="P115" s="95"/>
      <c r="Q115" s="112"/>
      <c r="R115" s="82"/>
      <c r="S115" s="115"/>
      <c r="T115" s="82"/>
      <c r="U115" s="82"/>
      <c r="V115" s="82"/>
      <c r="W115" s="82"/>
      <c r="X115" s="82"/>
      <c r="Y115" s="84"/>
      <c r="Z115" s="82"/>
    </row>
    <row r="116" spans="1:26" x14ac:dyDescent="0.3">
      <c r="A116" s="131" t="s">
        <v>272</v>
      </c>
      <c r="B116" s="16">
        <v>2012</v>
      </c>
      <c r="C116" s="104"/>
      <c r="D116" s="93"/>
      <c r="E116" s="108"/>
      <c r="F116" s="106"/>
      <c r="G116" s="105"/>
      <c r="H116" s="109"/>
      <c r="I116" s="100"/>
      <c r="J116" s="94"/>
      <c r="K116" s="110"/>
      <c r="L116" s="101"/>
      <c r="M116" s="98"/>
      <c r="N116" s="111"/>
      <c r="O116" s="102"/>
      <c r="P116" s="95"/>
      <c r="Q116" s="112"/>
      <c r="S116" s="115"/>
      <c r="T116" s="82"/>
      <c r="U116" s="82"/>
      <c r="V116" s="82"/>
      <c r="W116" s="82"/>
      <c r="X116" s="82"/>
      <c r="Y116" s="84"/>
      <c r="Z116" s="82"/>
    </row>
    <row r="117" spans="1:26" x14ac:dyDescent="0.3">
      <c r="A117" s="43" t="s">
        <v>272</v>
      </c>
      <c r="B117" s="53">
        <v>2013</v>
      </c>
      <c r="C117" s="104"/>
      <c r="D117" s="96"/>
      <c r="E117" s="108"/>
      <c r="F117" s="106"/>
      <c r="G117" s="107"/>
      <c r="H117" s="109"/>
      <c r="I117" s="100"/>
      <c r="J117" s="97"/>
      <c r="K117" s="110"/>
      <c r="L117" s="101"/>
      <c r="M117" s="98"/>
      <c r="N117" s="111"/>
      <c r="O117" s="102"/>
      <c r="P117" s="99"/>
      <c r="Q117" s="113"/>
      <c r="S117" s="115"/>
      <c r="T117" s="82"/>
      <c r="U117" s="82"/>
      <c r="V117" s="82"/>
      <c r="W117" s="82"/>
      <c r="X117" s="82"/>
      <c r="Y117" s="84"/>
      <c r="Z117" s="82"/>
    </row>
    <row r="118" spans="1:26" x14ac:dyDescent="0.3">
      <c r="A118" s="43" t="s">
        <v>272</v>
      </c>
      <c r="B118" s="53">
        <v>2014</v>
      </c>
      <c r="C118" s="104"/>
      <c r="D118" s="96"/>
      <c r="E118" s="108"/>
      <c r="F118" s="106"/>
      <c r="G118" s="107"/>
      <c r="H118" s="109"/>
      <c r="I118" s="100"/>
      <c r="J118" s="97"/>
      <c r="K118" s="110"/>
      <c r="L118" s="101"/>
      <c r="M118" s="98"/>
      <c r="N118" s="111"/>
      <c r="O118" s="102"/>
      <c r="P118" s="99"/>
      <c r="Q118" s="113"/>
      <c r="S118" s="115"/>
      <c r="T118" s="82"/>
      <c r="U118" s="82"/>
      <c r="V118" s="82"/>
      <c r="W118" s="82"/>
      <c r="X118" s="82"/>
      <c r="Y118" s="84"/>
      <c r="Z118" s="82"/>
    </row>
    <row r="119" spans="1:26" x14ac:dyDescent="0.3">
      <c r="A119" s="41" t="s">
        <v>272</v>
      </c>
      <c r="B119" s="42">
        <v>2015</v>
      </c>
      <c r="C119" s="188"/>
      <c r="D119" s="183"/>
      <c r="E119" s="189"/>
      <c r="F119" s="190"/>
      <c r="G119" s="184"/>
      <c r="H119" s="191"/>
      <c r="I119" s="192"/>
      <c r="J119" s="185"/>
      <c r="K119" s="193"/>
      <c r="L119" s="194"/>
      <c r="M119" s="186"/>
      <c r="N119" s="195"/>
      <c r="O119" s="196"/>
      <c r="P119" s="187"/>
      <c r="Q119" s="197"/>
      <c r="R119" s="82"/>
      <c r="S119" s="115"/>
      <c r="T119" s="82"/>
      <c r="U119" s="82"/>
      <c r="V119" s="82"/>
      <c r="W119" s="82"/>
      <c r="X119" s="82"/>
      <c r="Y119" s="84"/>
      <c r="Z119" s="82"/>
    </row>
    <row r="120" spans="1:26" x14ac:dyDescent="0.3">
      <c r="A120" s="131" t="s">
        <v>56</v>
      </c>
      <c r="B120" s="82">
        <v>2007</v>
      </c>
      <c r="C120" s="104"/>
      <c r="D120" s="93"/>
      <c r="E120" s="108"/>
      <c r="F120" s="106"/>
      <c r="G120" s="105"/>
      <c r="H120" s="109"/>
      <c r="I120" s="100"/>
      <c r="J120" s="94"/>
      <c r="K120" s="110"/>
      <c r="L120" s="101"/>
      <c r="M120" s="98"/>
      <c r="N120" s="111"/>
      <c r="O120" s="102"/>
      <c r="P120" s="95"/>
      <c r="Q120" s="112"/>
      <c r="R120" s="82"/>
      <c r="S120" s="115"/>
      <c r="T120" s="82"/>
      <c r="U120" s="82"/>
      <c r="V120" s="82"/>
      <c r="W120" s="82"/>
      <c r="X120" s="82"/>
      <c r="Y120" s="84"/>
      <c r="Z120" s="82"/>
    </row>
    <row r="121" spans="1:26" x14ac:dyDescent="0.3">
      <c r="A121" s="131" t="s">
        <v>56</v>
      </c>
      <c r="B121" s="16">
        <v>2008</v>
      </c>
      <c r="C121" s="104"/>
      <c r="D121" s="93"/>
      <c r="E121" s="108"/>
      <c r="F121" s="106"/>
      <c r="G121" s="105"/>
      <c r="H121" s="109"/>
      <c r="I121" s="100"/>
      <c r="J121" s="94"/>
      <c r="K121" s="110"/>
      <c r="L121" s="101"/>
      <c r="M121" s="98"/>
      <c r="N121" s="111"/>
      <c r="O121" s="102"/>
      <c r="P121" s="95"/>
      <c r="Q121" s="112"/>
      <c r="R121" s="82"/>
      <c r="S121" s="115"/>
      <c r="T121" s="82"/>
      <c r="U121" s="82"/>
      <c r="V121" s="82"/>
      <c r="W121" s="82"/>
      <c r="X121" s="82"/>
      <c r="Y121" s="84"/>
      <c r="Z121" s="82"/>
    </row>
    <row r="122" spans="1:26" x14ac:dyDescent="0.3">
      <c r="A122" s="131" t="s">
        <v>56</v>
      </c>
      <c r="B122" s="53">
        <v>2009</v>
      </c>
      <c r="C122" s="104"/>
      <c r="D122" s="93"/>
      <c r="E122" s="108"/>
      <c r="F122" s="106"/>
      <c r="G122" s="105"/>
      <c r="H122" s="109"/>
      <c r="I122" s="100"/>
      <c r="J122" s="94"/>
      <c r="K122" s="110"/>
      <c r="L122" s="101"/>
      <c r="M122" s="98"/>
      <c r="N122" s="111"/>
      <c r="O122" s="102"/>
      <c r="P122" s="95"/>
      <c r="Q122" s="112"/>
      <c r="R122" s="82"/>
      <c r="S122" s="115"/>
      <c r="T122" s="82"/>
      <c r="U122" s="82"/>
      <c r="V122" s="82"/>
      <c r="W122" s="82"/>
      <c r="X122" s="82"/>
      <c r="Y122" s="84"/>
      <c r="Z122" s="82"/>
    </row>
    <row r="123" spans="1:26" x14ac:dyDescent="0.3">
      <c r="A123" s="131" t="s">
        <v>56</v>
      </c>
      <c r="B123" s="16">
        <v>2010</v>
      </c>
      <c r="C123" s="104"/>
      <c r="D123" s="93"/>
      <c r="E123" s="108"/>
      <c r="F123" s="106"/>
      <c r="G123" s="105"/>
      <c r="H123" s="109"/>
      <c r="I123" s="100"/>
      <c r="J123" s="94"/>
      <c r="K123" s="110"/>
      <c r="L123" s="101"/>
      <c r="M123" s="98"/>
      <c r="N123" s="111"/>
      <c r="O123" s="102"/>
      <c r="P123" s="95"/>
      <c r="Q123" s="112"/>
      <c r="R123" s="82"/>
      <c r="S123" s="115"/>
      <c r="T123" s="82"/>
      <c r="U123" s="82"/>
      <c r="V123" s="82"/>
      <c r="W123" s="82"/>
      <c r="X123" s="82"/>
      <c r="Y123" s="84"/>
      <c r="Z123" s="82"/>
    </row>
    <row r="124" spans="1:26" x14ac:dyDescent="0.3">
      <c r="A124" s="131" t="s">
        <v>56</v>
      </c>
      <c r="B124" s="53">
        <v>2011</v>
      </c>
      <c r="C124" s="104"/>
      <c r="D124" s="93"/>
      <c r="E124" s="108"/>
      <c r="F124" s="106"/>
      <c r="G124" s="105"/>
      <c r="H124" s="109"/>
      <c r="I124" s="100"/>
      <c r="J124" s="94"/>
      <c r="K124" s="110"/>
      <c r="L124" s="101"/>
      <c r="M124" s="98"/>
      <c r="N124" s="111"/>
      <c r="O124" s="102"/>
      <c r="P124" s="95"/>
      <c r="Q124" s="112"/>
      <c r="R124" s="82"/>
      <c r="S124" s="115"/>
      <c r="T124" s="82"/>
      <c r="U124" s="82"/>
      <c r="V124" s="82"/>
      <c r="W124" s="82"/>
      <c r="X124" s="82"/>
      <c r="Y124" s="84"/>
      <c r="Z124" s="82"/>
    </row>
    <row r="125" spans="1:26" x14ac:dyDescent="0.3">
      <c r="A125" s="131" t="s">
        <v>56</v>
      </c>
      <c r="B125" s="16">
        <v>2012</v>
      </c>
      <c r="C125" s="104"/>
      <c r="D125" s="93"/>
      <c r="E125" s="108"/>
      <c r="F125" s="106"/>
      <c r="G125" s="105"/>
      <c r="H125" s="109"/>
      <c r="I125" s="100"/>
      <c r="J125" s="94"/>
      <c r="K125" s="110"/>
      <c r="L125" s="101"/>
      <c r="M125" s="98"/>
      <c r="N125" s="111"/>
      <c r="O125" s="102"/>
      <c r="P125" s="95"/>
      <c r="Q125" s="112"/>
      <c r="R125" s="178"/>
      <c r="S125" s="115"/>
      <c r="T125" s="82"/>
      <c r="U125" s="82"/>
      <c r="V125" s="82"/>
      <c r="W125" s="82"/>
      <c r="X125" s="82"/>
      <c r="Y125" s="84"/>
      <c r="Z125" s="82"/>
    </row>
    <row r="126" spans="1:26" x14ac:dyDescent="0.3">
      <c r="A126" s="43" t="s">
        <v>56</v>
      </c>
      <c r="B126" s="53">
        <v>2013</v>
      </c>
      <c r="C126" s="104"/>
      <c r="D126" s="96"/>
      <c r="E126" s="108"/>
      <c r="F126" s="106"/>
      <c r="G126" s="107"/>
      <c r="H126" s="109"/>
      <c r="I126" s="100"/>
      <c r="J126" s="97"/>
      <c r="K126" s="110"/>
      <c r="L126" s="101"/>
      <c r="M126" s="98"/>
      <c r="N126" s="111"/>
      <c r="O126" s="102"/>
      <c r="P126" s="99"/>
      <c r="Q126" s="113"/>
      <c r="R126" s="178" t="s">
        <v>205</v>
      </c>
      <c r="S126" s="115"/>
      <c r="T126" s="82"/>
      <c r="U126" s="82"/>
      <c r="V126" s="82"/>
      <c r="W126" s="82"/>
      <c r="X126" s="82"/>
      <c r="Y126" s="84"/>
      <c r="Z126" s="82"/>
    </row>
    <row r="127" spans="1:26" x14ac:dyDescent="0.3">
      <c r="A127" s="43" t="s">
        <v>56</v>
      </c>
      <c r="B127" s="53">
        <v>2014</v>
      </c>
      <c r="C127" s="104"/>
      <c r="D127" s="96"/>
      <c r="E127" s="108"/>
      <c r="F127" s="106"/>
      <c r="G127" s="107"/>
      <c r="H127" s="109"/>
      <c r="I127" s="100"/>
      <c r="J127" s="97"/>
      <c r="K127" s="110"/>
      <c r="L127" s="101"/>
      <c r="M127" s="98"/>
      <c r="N127" s="111"/>
      <c r="O127" s="102"/>
      <c r="P127" s="99"/>
      <c r="Q127" s="113"/>
      <c r="R127" s="178" t="s">
        <v>183</v>
      </c>
      <c r="S127" s="115"/>
      <c r="T127" s="82"/>
      <c r="U127" s="82"/>
      <c r="V127" s="82"/>
      <c r="W127" s="82"/>
      <c r="X127" s="82"/>
      <c r="Y127" s="84"/>
      <c r="Z127" s="82"/>
    </row>
    <row r="128" spans="1:26" x14ac:dyDescent="0.3">
      <c r="A128" s="41" t="s">
        <v>56</v>
      </c>
      <c r="B128" s="42">
        <v>2015</v>
      </c>
      <c r="C128" s="188"/>
      <c r="D128" s="183"/>
      <c r="E128" s="189"/>
      <c r="F128" s="190"/>
      <c r="G128" s="184"/>
      <c r="H128" s="191"/>
      <c r="I128" s="192"/>
      <c r="J128" s="185"/>
      <c r="K128" s="193"/>
      <c r="L128" s="194"/>
      <c r="M128" s="186"/>
      <c r="N128" s="195"/>
      <c r="O128" s="196"/>
      <c r="P128" s="187"/>
      <c r="Q128" s="197"/>
      <c r="R128" s="82"/>
      <c r="S128" s="115"/>
      <c r="T128" s="82"/>
      <c r="U128" s="82"/>
      <c r="V128" s="82"/>
      <c r="W128" s="82"/>
      <c r="X128" s="82"/>
      <c r="Y128" s="84"/>
      <c r="Z128" s="82"/>
    </row>
    <row r="129" spans="1:26" x14ac:dyDescent="0.3">
      <c r="A129" s="131" t="s">
        <v>59</v>
      </c>
      <c r="B129" s="82">
        <v>2007</v>
      </c>
      <c r="C129" s="104"/>
      <c r="D129" s="93"/>
      <c r="E129" s="108"/>
      <c r="F129" s="106"/>
      <c r="G129" s="105"/>
      <c r="H129" s="109"/>
      <c r="I129" s="100"/>
      <c r="J129" s="94"/>
      <c r="K129" s="110"/>
      <c r="L129" s="101"/>
      <c r="M129" s="98"/>
      <c r="N129" s="111"/>
      <c r="O129" s="102"/>
      <c r="P129" s="95"/>
      <c r="Q129" s="112"/>
      <c r="R129" s="82"/>
      <c r="S129" s="115"/>
      <c r="T129" s="82"/>
      <c r="U129" s="82"/>
      <c r="V129" s="82"/>
      <c r="W129" s="82"/>
      <c r="X129" s="82"/>
      <c r="Y129" s="84"/>
      <c r="Z129" s="82"/>
    </row>
    <row r="130" spans="1:26" x14ac:dyDescent="0.3">
      <c r="A130" s="131" t="s">
        <v>59</v>
      </c>
      <c r="B130" s="16">
        <v>2008</v>
      </c>
      <c r="C130" s="104"/>
      <c r="D130" s="93"/>
      <c r="E130" s="108"/>
      <c r="F130" s="106"/>
      <c r="G130" s="105"/>
      <c r="H130" s="109"/>
      <c r="I130" s="100"/>
      <c r="J130" s="94"/>
      <c r="K130" s="110"/>
      <c r="L130" s="101"/>
      <c r="M130" s="98"/>
      <c r="N130" s="111"/>
      <c r="O130" s="102"/>
      <c r="P130" s="95"/>
      <c r="Q130" s="112"/>
      <c r="R130" s="82"/>
      <c r="S130" s="115"/>
      <c r="T130" s="82"/>
      <c r="U130" s="82"/>
      <c r="V130" s="82"/>
      <c r="W130" s="82"/>
      <c r="X130" s="82"/>
      <c r="Y130" s="84"/>
      <c r="Z130" s="82"/>
    </row>
    <row r="131" spans="1:26" x14ac:dyDescent="0.3">
      <c r="A131" s="131" t="s">
        <v>59</v>
      </c>
      <c r="B131" s="53">
        <v>2009</v>
      </c>
      <c r="C131" s="104"/>
      <c r="D131" s="93"/>
      <c r="E131" s="108"/>
      <c r="F131" s="106"/>
      <c r="G131" s="105"/>
      <c r="H131" s="109"/>
      <c r="I131" s="100"/>
      <c r="J131" s="94"/>
      <c r="K131" s="110"/>
      <c r="L131" s="101"/>
      <c r="M131" s="98"/>
      <c r="N131" s="111"/>
      <c r="O131" s="102"/>
      <c r="P131" s="95"/>
      <c r="Q131" s="112"/>
      <c r="R131" s="82"/>
      <c r="S131" s="115"/>
      <c r="T131" s="82"/>
      <c r="U131" s="82"/>
      <c r="V131" s="82"/>
      <c r="W131" s="82"/>
      <c r="X131" s="82"/>
      <c r="Y131" s="84"/>
      <c r="Z131" s="82"/>
    </row>
    <row r="132" spans="1:26" x14ac:dyDescent="0.3">
      <c r="A132" s="131" t="s">
        <v>59</v>
      </c>
      <c r="B132" s="16">
        <v>2010</v>
      </c>
      <c r="C132" s="104"/>
      <c r="D132" s="93"/>
      <c r="E132" s="108"/>
      <c r="F132" s="106"/>
      <c r="G132" s="105"/>
      <c r="H132" s="109"/>
      <c r="I132" s="100"/>
      <c r="J132" s="94"/>
      <c r="K132" s="110"/>
      <c r="L132" s="101"/>
      <c r="M132" s="98"/>
      <c r="N132" s="111"/>
      <c r="O132" s="102"/>
      <c r="P132" s="95"/>
      <c r="Q132" s="112"/>
      <c r="R132" s="82"/>
      <c r="S132" s="115"/>
      <c r="T132" s="82"/>
      <c r="U132" s="82"/>
      <c r="V132" s="82"/>
      <c r="W132" s="82"/>
      <c r="X132" s="82"/>
      <c r="Y132" s="84"/>
      <c r="Z132" s="82"/>
    </row>
    <row r="133" spans="1:26" x14ac:dyDescent="0.3">
      <c r="A133" s="131" t="s">
        <v>59</v>
      </c>
      <c r="B133" s="53">
        <v>2011</v>
      </c>
      <c r="C133" s="104"/>
      <c r="D133" s="93"/>
      <c r="E133" s="108"/>
      <c r="F133" s="106"/>
      <c r="G133" s="105"/>
      <c r="H133" s="109"/>
      <c r="I133" s="100"/>
      <c r="J133" s="94"/>
      <c r="K133" s="110"/>
      <c r="L133" s="101"/>
      <c r="M133" s="98"/>
      <c r="N133" s="111"/>
      <c r="O133" s="102"/>
      <c r="P133" s="95"/>
      <c r="Q133" s="112"/>
      <c r="R133" s="82"/>
      <c r="S133" s="115"/>
      <c r="T133" s="82"/>
      <c r="U133" s="82"/>
      <c r="V133" s="82"/>
      <c r="W133" s="82"/>
      <c r="X133" s="82"/>
      <c r="Y133" s="84"/>
      <c r="Z133" s="82"/>
    </row>
    <row r="134" spans="1:26" x14ac:dyDescent="0.3">
      <c r="A134" s="131" t="s">
        <v>59</v>
      </c>
      <c r="B134" s="16">
        <v>2012</v>
      </c>
      <c r="C134" s="104">
        <f>+D134*E134</f>
        <v>84.611491324999974</v>
      </c>
      <c r="D134" s="93">
        <f>0.369422*91.25</f>
        <v>33.709757499999995</v>
      </c>
      <c r="E134" s="108">
        <v>2.5099999999999998</v>
      </c>
      <c r="F134" s="106">
        <f>+G134*H134</f>
        <v>68.020122499999999</v>
      </c>
      <c r="G134" s="105">
        <f>0.372713*91.25</f>
        <v>34.01006125</v>
      </c>
      <c r="H134" s="109">
        <v>2</v>
      </c>
      <c r="I134" s="100">
        <f>+J134*K134</f>
        <v>89.979223300000001</v>
      </c>
      <c r="J134" s="94">
        <f>0.376364*91.25</f>
        <v>34.343215000000001</v>
      </c>
      <c r="K134" s="110">
        <v>2.62</v>
      </c>
      <c r="L134" s="101">
        <f t="shared" ref="L134:M136" si="9">+O134-C134-F134-I134</f>
        <v>147.55582162500008</v>
      </c>
      <c r="M134" s="98">
        <f t="shared" si="9"/>
        <v>39.815751250000019</v>
      </c>
      <c r="N134" s="111">
        <f>+L134/M134</f>
        <v>3.705966030843133</v>
      </c>
      <c r="O134" s="102">
        <f>+P134*Q134</f>
        <v>390.16665875000007</v>
      </c>
      <c r="P134" s="95">
        <f>0.388709*365</f>
        <v>141.87878500000002</v>
      </c>
      <c r="Q134" s="112">
        <v>2.75</v>
      </c>
      <c r="R134" s="82"/>
      <c r="S134" s="115"/>
      <c r="T134" s="82"/>
      <c r="U134" s="82"/>
      <c r="V134" s="82"/>
      <c r="W134" s="82"/>
      <c r="X134" s="82"/>
      <c r="Y134" s="84"/>
      <c r="Z134" s="82"/>
    </row>
    <row r="135" spans="1:26" x14ac:dyDescent="0.3">
      <c r="A135" s="43" t="s">
        <v>59</v>
      </c>
      <c r="B135" s="53">
        <v>2013</v>
      </c>
      <c r="C135" s="104">
        <f>+D135*E135</f>
        <v>104.04106821249999</v>
      </c>
      <c r="D135" s="96">
        <f>0.359677*91.25</f>
        <v>32.82052625</v>
      </c>
      <c r="E135" s="108">
        <v>3.17</v>
      </c>
      <c r="F135" s="106">
        <f>+G135*H135</f>
        <v>129.09720769999998</v>
      </c>
      <c r="G135" s="107">
        <f>0.376267*91.25</f>
        <v>34.334363750000001</v>
      </c>
      <c r="H135" s="109">
        <v>3.76</v>
      </c>
      <c r="I135" s="100">
        <f>+J135*K135</f>
        <v>96.642455249999998</v>
      </c>
      <c r="J135" s="97">
        <f>0.320938*91.25</f>
        <v>29.2855925</v>
      </c>
      <c r="K135" s="110">
        <v>3.3</v>
      </c>
      <c r="L135" s="101">
        <f t="shared" si="9"/>
        <v>143.79241338750006</v>
      </c>
      <c r="M135" s="98">
        <f t="shared" si="9"/>
        <v>42.437272500000013</v>
      </c>
      <c r="N135" s="111">
        <f>+L135/M135</f>
        <v>3.3883519113416165</v>
      </c>
      <c r="O135" s="102">
        <f>+P135*Q135</f>
        <v>473.57314455000005</v>
      </c>
      <c r="P135" s="99">
        <f>0.380487*365</f>
        <v>138.87775500000001</v>
      </c>
      <c r="Q135" s="113">
        <v>3.41</v>
      </c>
      <c r="R135" s="82"/>
      <c r="S135" s="115"/>
      <c r="T135" s="82"/>
      <c r="U135" s="82"/>
      <c r="V135" s="82"/>
      <c r="W135" s="82"/>
      <c r="X135" s="82"/>
      <c r="Y135" s="84"/>
      <c r="Z135" s="82"/>
    </row>
    <row r="136" spans="1:26" x14ac:dyDescent="0.3">
      <c r="A136" s="43" t="s">
        <v>59</v>
      </c>
      <c r="B136" s="53">
        <v>2014</v>
      </c>
      <c r="C136" s="104">
        <f>+D136*E136</f>
        <v>139.30767937500002</v>
      </c>
      <c r="D136" s="96">
        <f>0.321402*91.25</f>
        <v>29.327932500000003</v>
      </c>
      <c r="E136" s="108">
        <v>4.75</v>
      </c>
      <c r="F136" s="106">
        <f>+G136*H136</f>
        <v>147.874554225</v>
      </c>
      <c r="G136" s="107">
        <f>0.369987*91.25</f>
        <v>33.761313749999999</v>
      </c>
      <c r="H136" s="109">
        <v>4.38</v>
      </c>
      <c r="I136" s="100">
        <f>+J136*K136</f>
        <v>118.86815296250001</v>
      </c>
      <c r="J136" s="97">
        <f>0.343711*91.25</f>
        <v>31.36362875</v>
      </c>
      <c r="K136" s="110">
        <v>3.79</v>
      </c>
      <c r="L136" s="101">
        <f t="shared" si="9"/>
        <v>161.21605703749998</v>
      </c>
      <c r="M136" s="98">
        <f t="shared" si="9"/>
        <v>43.233154999999982</v>
      </c>
      <c r="N136" s="111">
        <f>+L136/M136</f>
        <v>3.7289912576933153</v>
      </c>
      <c r="O136" s="102">
        <f>+P136*Q136</f>
        <v>567.2664436</v>
      </c>
      <c r="P136" s="99">
        <f>0.377222*365</f>
        <v>137.68602999999999</v>
      </c>
      <c r="Q136" s="113">
        <v>4.12</v>
      </c>
      <c r="R136" s="170" t="s">
        <v>183</v>
      </c>
      <c r="S136" s="115"/>
      <c r="T136" s="82"/>
      <c r="U136" s="82"/>
      <c r="V136" s="82"/>
      <c r="W136" s="82"/>
      <c r="X136" s="82"/>
      <c r="Y136" s="84"/>
      <c r="Z136" s="82"/>
    </row>
    <row r="137" spans="1:26" x14ac:dyDescent="0.3">
      <c r="A137" s="41" t="s">
        <v>59</v>
      </c>
      <c r="B137" s="42">
        <v>2015</v>
      </c>
      <c r="C137" s="188">
        <f>+D137*E137</f>
        <v>88.554073500000015</v>
      </c>
      <c r="D137" s="183">
        <f>0.359428*91.25</f>
        <v>32.797805000000004</v>
      </c>
      <c r="E137" s="189">
        <v>2.7</v>
      </c>
      <c r="F137" s="190">
        <f>+G137*H137</f>
        <v>77.074008637500015</v>
      </c>
      <c r="G137" s="184">
        <f>0.356391*91.25</f>
        <v>32.520678750000002</v>
      </c>
      <c r="H137" s="191">
        <v>2.37</v>
      </c>
      <c r="I137" s="192">
        <f>+J137*K137</f>
        <v>83.100572912499999</v>
      </c>
      <c r="J137" s="185">
        <f>0.359957*91.25</f>
        <v>32.846076250000003</v>
      </c>
      <c r="K137" s="193">
        <v>2.5299999999999998</v>
      </c>
      <c r="L137" s="194">
        <f>+O137-C137-F137-I137</f>
        <v>67.212144949999939</v>
      </c>
      <c r="M137" s="186">
        <f>+P137-D137-G137-J137</f>
        <v>33.47743999999998</v>
      </c>
      <c r="N137" s="195">
        <f>+L137/M137</f>
        <v>2.0076847258930188</v>
      </c>
      <c r="O137" s="196">
        <f>+P137*Q137</f>
        <v>315.94079999999997</v>
      </c>
      <c r="P137" s="187">
        <v>131.642</v>
      </c>
      <c r="Q137" s="197">
        <v>2.4</v>
      </c>
      <c r="R137" s="82"/>
      <c r="S137" s="115"/>
      <c r="T137" s="82"/>
      <c r="U137" s="82"/>
      <c r="V137" s="82"/>
      <c r="W137" s="82"/>
      <c r="X137" s="82"/>
      <c r="Y137" s="84"/>
      <c r="Z137" s="82"/>
    </row>
    <row r="138" spans="1:26" x14ac:dyDescent="0.3">
      <c r="A138" s="131" t="s">
        <v>63</v>
      </c>
      <c r="B138" s="82">
        <v>2007</v>
      </c>
      <c r="C138" s="104"/>
      <c r="D138" s="93"/>
      <c r="E138" s="108"/>
      <c r="F138" s="106"/>
      <c r="G138" s="105"/>
      <c r="H138" s="109"/>
      <c r="I138" s="100"/>
      <c r="J138" s="94"/>
      <c r="K138" s="110"/>
      <c r="L138" s="101"/>
      <c r="M138" s="98"/>
      <c r="N138" s="111"/>
      <c r="O138" s="102"/>
      <c r="P138" s="95"/>
      <c r="Q138" s="112"/>
      <c r="R138" s="82"/>
      <c r="S138" s="115"/>
      <c r="T138" s="82"/>
      <c r="U138" s="82"/>
      <c r="V138" s="82"/>
      <c r="W138" s="82"/>
      <c r="X138" s="82"/>
      <c r="Y138" s="84"/>
      <c r="Z138" s="82"/>
    </row>
    <row r="139" spans="1:26" x14ac:dyDescent="0.3">
      <c r="A139" s="131" t="s">
        <v>63</v>
      </c>
      <c r="B139" s="16">
        <v>2008</v>
      </c>
      <c r="C139" s="104"/>
      <c r="D139" s="93"/>
      <c r="E139" s="108"/>
      <c r="F139" s="106"/>
      <c r="G139" s="105"/>
      <c r="H139" s="109"/>
      <c r="I139" s="100"/>
      <c r="J139" s="94"/>
      <c r="K139" s="110"/>
      <c r="L139" s="101"/>
      <c r="M139" s="98"/>
      <c r="N139" s="111"/>
      <c r="O139" s="102"/>
      <c r="P139" s="95"/>
      <c r="Q139" s="112"/>
      <c r="R139" s="82"/>
      <c r="S139" s="115"/>
      <c r="T139" s="82"/>
      <c r="U139" s="82"/>
      <c r="V139" s="82"/>
      <c r="W139" s="82"/>
      <c r="X139" s="82"/>
      <c r="Y139" s="84"/>
      <c r="Z139" s="82"/>
    </row>
    <row r="140" spans="1:26" x14ac:dyDescent="0.3">
      <c r="A140" s="131" t="s">
        <v>63</v>
      </c>
      <c r="B140" s="53">
        <v>2009</v>
      </c>
      <c r="C140" s="104"/>
      <c r="D140" s="93"/>
      <c r="E140" s="108"/>
      <c r="F140" s="106"/>
      <c r="G140" s="105"/>
      <c r="H140" s="109"/>
      <c r="I140" s="100"/>
      <c r="J140" s="94"/>
      <c r="K140" s="110"/>
      <c r="L140" s="101"/>
      <c r="M140" s="98"/>
      <c r="N140" s="111"/>
      <c r="O140" s="102"/>
      <c r="P140" s="95"/>
      <c r="Q140" s="112"/>
      <c r="R140" s="82"/>
      <c r="S140" s="115"/>
      <c r="T140" s="82"/>
      <c r="U140" s="82"/>
      <c r="V140" s="82"/>
      <c r="W140" s="82"/>
      <c r="X140" s="82"/>
      <c r="Y140" s="84"/>
      <c r="Z140" s="82"/>
    </row>
    <row r="141" spans="1:26" x14ac:dyDescent="0.3">
      <c r="A141" s="131" t="s">
        <v>63</v>
      </c>
      <c r="B141" s="16">
        <v>2010</v>
      </c>
      <c r="C141" s="104"/>
      <c r="D141" s="93"/>
      <c r="E141" s="108"/>
      <c r="F141" s="106"/>
      <c r="G141" s="105"/>
      <c r="H141" s="109"/>
      <c r="I141" s="100"/>
      <c r="J141" s="94"/>
      <c r="K141" s="110"/>
      <c r="L141" s="101"/>
      <c r="M141" s="98"/>
      <c r="N141" s="111"/>
      <c r="O141" s="102"/>
      <c r="P141" s="95"/>
      <c r="Q141" s="112"/>
      <c r="R141" s="82"/>
      <c r="S141" s="115"/>
      <c r="T141" s="82"/>
      <c r="U141" s="82"/>
      <c r="V141" s="82"/>
      <c r="W141" s="82"/>
      <c r="X141" s="82"/>
      <c r="Y141" s="84"/>
      <c r="Z141" s="82"/>
    </row>
    <row r="142" spans="1:26" x14ac:dyDescent="0.3">
      <c r="A142" s="131" t="s">
        <v>63</v>
      </c>
      <c r="B142" s="53">
        <v>2011</v>
      </c>
      <c r="C142" s="104"/>
      <c r="D142" s="93"/>
      <c r="E142" s="108"/>
      <c r="F142" s="106"/>
      <c r="G142" s="105"/>
      <c r="H142" s="109"/>
      <c r="I142" s="100"/>
      <c r="J142" s="94"/>
      <c r="K142" s="110"/>
      <c r="L142" s="101"/>
      <c r="M142" s="98"/>
      <c r="N142" s="111"/>
      <c r="O142" s="102"/>
      <c r="P142" s="95"/>
      <c r="Q142" s="112"/>
      <c r="R142" s="82"/>
      <c r="S142" s="115"/>
      <c r="T142" s="82"/>
      <c r="U142" s="82"/>
      <c r="V142" s="82"/>
      <c r="W142" s="82"/>
      <c r="X142" s="82"/>
      <c r="Y142" s="84"/>
      <c r="Z142" s="82"/>
    </row>
    <row r="143" spans="1:26" x14ac:dyDescent="0.3">
      <c r="A143" s="131" t="s">
        <v>63</v>
      </c>
      <c r="B143" s="16">
        <v>2012</v>
      </c>
      <c r="C143" s="104">
        <f>+D143*E143</f>
        <v>186.99833000000001</v>
      </c>
      <c r="D143" s="93">
        <v>46.633000000000003</v>
      </c>
      <c r="E143" s="108">
        <v>4.01</v>
      </c>
      <c r="F143" s="106">
        <f>+G143*H143</f>
        <v>191.39238</v>
      </c>
      <c r="G143" s="105">
        <v>52.292999999999999</v>
      </c>
      <c r="H143" s="109">
        <v>3.66</v>
      </c>
      <c r="I143" s="100">
        <f>+J143*K143</f>
        <v>222.50636</v>
      </c>
      <c r="J143" s="94">
        <v>57.347000000000001</v>
      </c>
      <c r="K143" s="110">
        <v>3.88</v>
      </c>
      <c r="L143" s="101">
        <f t="shared" ref="L143:M145" si="10">+O143-C143-F143-I143</f>
        <v>72.588979999999964</v>
      </c>
      <c r="M143" s="98">
        <f t="shared" si="10"/>
        <v>60.281999999999989</v>
      </c>
      <c r="N143" s="111">
        <f>+L143/M143</f>
        <v>1.2041567963902986</v>
      </c>
      <c r="O143" s="102">
        <f>+P143*Q143</f>
        <v>673.48604999999998</v>
      </c>
      <c r="P143" s="95">
        <v>216.55500000000001</v>
      </c>
      <c r="Q143" s="112">
        <v>3.11</v>
      </c>
      <c r="R143" s="82"/>
      <c r="S143" s="115"/>
      <c r="T143" s="82"/>
      <c r="U143" s="82"/>
      <c r="V143" s="82"/>
      <c r="W143" s="82"/>
      <c r="X143" s="82"/>
      <c r="Y143" s="84"/>
      <c r="Z143" s="82"/>
    </row>
    <row r="144" spans="1:26" x14ac:dyDescent="0.3">
      <c r="A144" s="43" t="s">
        <v>63</v>
      </c>
      <c r="B144" s="53">
        <v>2013</v>
      </c>
      <c r="C144" s="104">
        <f>+D144*E144</f>
        <v>253.67815999999999</v>
      </c>
      <c r="D144" s="96">
        <v>62.024000000000001</v>
      </c>
      <c r="E144" s="108">
        <v>4.09</v>
      </c>
      <c r="F144" s="106">
        <f>+G144*H144</f>
        <v>272.68920000000003</v>
      </c>
      <c r="G144" s="107">
        <v>64.926000000000002</v>
      </c>
      <c r="H144" s="109">
        <v>4.2</v>
      </c>
      <c r="I144" s="100">
        <f>+J144*K144</f>
        <v>263.93700000000001</v>
      </c>
      <c r="J144" s="97">
        <v>68.025000000000006</v>
      </c>
      <c r="K144" s="110">
        <v>3.88</v>
      </c>
      <c r="L144" s="101">
        <f t="shared" si="10"/>
        <v>275.31664000000012</v>
      </c>
      <c r="M144" s="98">
        <f t="shared" si="10"/>
        <v>69.553000000000026</v>
      </c>
      <c r="N144" s="111">
        <f>+L144/M144</f>
        <v>3.9583718890630171</v>
      </c>
      <c r="O144" s="102">
        <v>1065.6210000000001</v>
      </c>
      <c r="P144" s="99">
        <v>264.52800000000002</v>
      </c>
      <c r="Q144" s="113">
        <v>4</v>
      </c>
      <c r="R144" s="82"/>
      <c r="S144" s="115"/>
      <c r="T144" s="82"/>
      <c r="U144" s="82"/>
      <c r="V144" s="82"/>
      <c r="W144" s="82"/>
      <c r="X144" s="82"/>
      <c r="Z144" s="82"/>
    </row>
    <row r="145" spans="1:18" x14ac:dyDescent="0.3">
      <c r="A145" s="43" t="s">
        <v>63</v>
      </c>
      <c r="B145" s="53">
        <v>2014</v>
      </c>
      <c r="C145" s="104">
        <f>+D145*E145</f>
        <v>260.47559999999999</v>
      </c>
      <c r="D145" s="96">
        <v>62.018000000000001</v>
      </c>
      <c r="E145" s="108">
        <v>4.2</v>
      </c>
      <c r="F145" s="106">
        <f>+G145*H145</f>
        <v>262.91656</v>
      </c>
      <c r="G145" s="107">
        <v>67.762</v>
      </c>
      <c r="H145" s="109">
        <v>3.88</v>
      </c>
      <c r="I145" s="100">
        <f>+J145*K145</f>
        <v>274.66395</v>
      </c>
      <c r="J145" s="97">
        <v>75.665000000000006</v>
      </c>
      <c r="K145" s="110">
        <v>3.63</v>
      </c>
      <c r="L145" s="101">
        <f t="shared" si="10"/>
        <v>347.61888999999996</v>
      </c>
      <c r="M145" s="98">
        <f t="shared" si="10"/>
        <v>81.48099999999998</v>
      </c>
      <c r="N145" s="111">
        <f>+L145/M145</f>
        <v>4.2662570415188821</v>
      </c>
      <c r="O145" s="102">
        <v>1145.675</v>
      </c>
      <c r="P145" s="99">
        <v>286.92599999999999</v>
      </c>
      <c r="Q145" s="113">
        <v>3.79</v>
      </c>
      <c r="R145" s="82" t="s">
        <v>285</v>
      </c>
    </row>
    <row r="146" spans="1:18" x14ac:dyDescent="0.3">
      <c r="A146" s="41" t="s">
        <v>63</v>
      </c>
      <c r="B146" s="42">
        <v>2015</v>
      </c>
      <c r="C146" s="188">
        <f>+D146*E146</f>
        <v>284.97012744</v>
      </c>
      <c r="D146" s="183">
        <v>80.500035999999994</v>
      </c>
      <c r="E146" s="189">
        <v>3.54</v>
      </c>
      <c r="F146" s="190">
        <f>+G146*H146</f>
        <v>258.82512350000002</v>
      </c>
      <c r="G146" s="184">
        <v>87.73733</v>
      </c>
      <c r="H146" s="191">
        <v>2.95</v>
      </c>
      <c r="I146" s="192">
        <f>+J146*K146</f>
        <v>269.44825703000004</v>
      </c>
      <c r="J146" s="185">
        <v>97.273739000000006</v>
      </c>
      <c r="K146" s="193">
        <v>2.77</v>
      </c>
      <c r="L146" s="194">
        <f>+O146-C146-F146-I146</f>
        <v>300.20558203000007</v>
      </c>
      <c r="M146" s="186">
        <f>+P146-D146-G146-J146</f>
        <v>97.175894999999997</v>
      </c>
      <c r="N146" s="195">
        <f>+L146/M146</f>
        <v>3.0893009221062497</v>
      </c>
      <c r="O146" s="196">
        <f>+P146*Q146</f>
        <v>1113.4490900000001</v>
      </c>
      <c r="P146" s="187">
        <v>362.68700000000001</v>
      </c>
      <c r="Q146" s="197">
        <v>3.07</v>
      </c>
      <c r="R146" s="82"/>
    </row>
    <row r="147" spans="1:18" x14ac:dyDescent="0.3">
      <c r="A147" s="131" t="s">
        <v>67</v>
      </c>
      <c r="B147" s="82">
        <v>2007</v>
      </c>
      <c r="C147" s="104"/>
      <c r="D147" s="93"/>
      <c r="E147" s="108"/>
      <c r="F147" s="106"/>
      <c r="G147" s="105"/>
      <c r="H147" s="109"/>
      <c r="I147" s="100"/>
      <c r="J147" s="94"/>
      <c r="K147" s="110"/>
      <c r="L147" s="101"/>
      <c r="M147" s="98"/>
      <c r="N147" s="111"/>
      <c r="O147" s="102"/>
      <c r="P147" s="95"/>
      <c r="Q147" s="112"/>
      <c r="R147" s="82"/>
    </row>
    <row r="148" spans="1:18" x14ac:dyDescent="0.3">
      <c r="A148" s="131" t="s">
        <v>67</v>
      </c>
      <c r="B148" s="16">
        <v>2008</v>
      </c>
      <c r="C148" s="104"/>
      <c r="D148" s="93"/>
      <c r="E148" s="108"/>
      <c r="F148" s="106"/>
      <c r="G148" s="105"/>
      <c r="H148" s="109"/>
      <c r="I148" s="100"/>
      <c r="J148" s="94"/>
      <c r="K148" s="110"/>
      <c r="L148" s="101"/>
      <c r="M148" s="98"/>
      <c r="N148" s="111"/>
      <c r="O148" s="102"/>
      <c r="P148" s="95"/>
      <c r="Q148" s="112"/>
      <c r="R148" s="82"/>
    </row>
    <row r="149" spans="1:18" x14ac:dyDescent="0.3">
      <c r="A149" s="131" t="s">
        <v>67</v>
      </c>
      <c r="B149" s="53">
        <v>2009</v>
      </c>
      <c r="C149" s="104"/>
      <c r="D149" s="93"/>
      <c r="E149" s="108"/>
      <c r="F149" s="106"/>
      <c r="G149" s="105"/>
      <c r="H149" s="109"/>
      <c r="I149" s="100"/>
      <c r="J149" s="94"/>
      <c r="K149" s="110"/>
      <c r="L149" s="101"/>
      <c r="M149" s="98"/>
      <c r="N149" s="111"/>
      <c r="O149" s="102"/>
      <c r="P149" s="95"/>
      <c r="Q149" s="112"/>
      <c r="R149" s="82"/>
    </row>
    <row r="150" spans="1:18" x14ac:dyDescent="0.3">
      <c r="A150" s="131" t="s">
        <v>67</v>
      </c>
      <c r="B150" s="16">
        <v>2010</v>
      </c>
      <c r="C150" s="104"/>
      <c r="D150" s="93"/>
      <c r="E150" s="108"/>
      <c r="F150" s="106"/>
      <c r="G150" s="105"/>
      <c r="H150" s="109"/>
      <c r="I150" s="100"/>
      <c r="J150" s="94"/>
      <c r="K150" s="110"/>
      <c r="L150" s="101"/>
      <c r="M150" s="98"/>
      <c r="N150" s="111"/>
      <c r="O150" s="102"/>
      <c r="P150" s="95"/>
      <c r="Q150" s="112"/>
      <c r="R150" s="82"/>
    </row>
    <row r="151" spans="1:18" x14ac:dyDescent="0.3">
      <c r="A151" s="131" t="s">
        <v>67</v>
      </c>
      <c r="B151" s="53">
        <v>2011</v>
      </c>
      <c r="C151" s="104"/>
      <c r="D151" s="93"/>
      <c r="E151" s="108"/>
      <c r="F151" s="106"/>
      <c r="G151" s="105"/>
      <c r="H151" s="109"/>
      <c r="I151" s="100"/>
      <c r="J151" s="94"/>
      <c r="K151" s="110"/>
      <c r="L151" s="101"/>
      <c r="M151" s="98"/>
      <c r="N151" s="111"/>
      <c r="O151" s="102"/>
      <c r="P151" s="95"/>
      <c r="Q151" s="112"/>
      <c r="R151" s="82"/>
    </row>
    <row r="152" spans="1:18" x14ac:dyDescent="0.3">
      <c r="A152" s="131" t="s">
        <v>67</v>
      </c>
      <c r="B152" s="16">
        <v>2012</v>
      </c>
      <c r="C152" s="104">
        <f>+D152*E152</f>
        <v>463.88400000000001</v>
      </c>
      <c r="D152" s="93">
        <v>133.30000000000001</v>
      </c>
      <c r="E152" s="108">
        <v>3.48</v>
      </c>
      <c r="F152" s="106">
        <f>+G152*H152</f>
        <v>428.06399999999996</v>
      </c>
      <c r="G152" s="105">
        <v>137.19999999999999</v>
      </c>
      <c r="H152" s="109">
        <v>3.12</v>
      </c>
      <c r="I152" s="100">
        <f>+J152*K152</f>
        <v>491.72199999999998</v>
      </c>
      <c r="J152" s="94">
        <v>144.19999999999999</v>
      </c>
      <c r="K152" s="110">
        <v>3.41</v>
      </c>
      <c r="L152" s="101">
        <f t="shared" ref="L152:M154" si="11">+O152-C152-F152-I152</f>
        <v>559.93000000000006</v>
      </c>
      <c r="M152" s="98">
        <f t="shared" si="11"/>
        <v>150.30000000000001</v>
      </c>
      <c r="N152" s="111">
        <f>+L152/M152</f>
        <v>3.7254158349966735</v>
      </c>
      <c r="O152" s="102">
        <f>+P152*Q152</f>
        <v>1943.6</v>
      </c>
      <c r="P152" s="95">
        <v>565</v>
      </c>
      <c r="Q152" s="112">
        <v>3.44</v>
      </c>
      <c r="R152" s="82"/>
    </row>
    <row r="153" spans="1:18" x14ac:dyDescent="0.3">
      <c r="A153" s="43" t="s">
        <v>67</v>
      </c>
      <c r="B153" s="53">
        <v>2013</v>
      </c>
      <c r="C153" s="104">
        <f>+D153*E153</f>
        <v>504.45</v>
      </c>
      <c r="D153" s="96">
        <v>147.5</v>
      </c>
      <c r="E153" s="108">
        <v>3.42</v>
      </c>
      <c r="F153" s="106">
        <v>614</v>
      </c>
      <c r="G153" s="107">
        <f>+F153/H153</f>
        <v>158.656330749354</v>
      </c>
      <c r="H153" s="109">
        <v>3.87</v>
      </c>
      <c r="I153" s="100">
        <f>+J153*K153</f>
        <v>620.91999999999996</v>
      </c>
      <c r="J153" s="97">
        <v>172</v>
      </c>
      <c r="K153" s="110">
        <v>3.61</v>
      </c>
      <c r="L153" s="101">
        <f t="shared" si="11"/>
        <v>655.03000000000009</v>
      </c>
      <c r="M153" s="98">
        <f t="shared" si="11"/>
        <v>177.84366925064603</v>
      </c>
      <c r="N153" s="111">
        <f>+L153/M153</f>
        <v>3.6831786183899862</v>
      </c>
      <c r="O153" s="102">
        <f>+P153*Q153</f>
        <v>2394.4</v>
      </c>
      <c r="P153" s="99">
        <v>656</v>
      </c>
      <c r="Q153" s="113">
        <v>3.65</v>
      </c>
      <c r="R153" s="182" t="s">
        <v>185</v>
      </c>
    </row>
    <row r="154" spans="1:18" x14ac:dyDescent="0.3">
      <c r="A154" s="43" t="s">
        <v>67</v>
      </c>
      <c r="B154" s="53">
        <v>2014</v>
      </c>
      <c r="C154" s="104">
        <f>+D154*E154</f>
        <v>761.74200000000008</v>
      </c>
      <c r="D154" s="96">
        <v>181.8</v>
      </c>
      <c r="E154" s="108">
        <v>4.1900000000000004</v>
      </c>
      <c r="F154" s="106">
        <v>717</v>
      </c>
      <c r="G154" s="107">
        <f>+F154/H154</f>
        <v>190.18567639257293</v>
      </c>
      <c r="H154" s="109">
        <v>3.77</v>
      </c>
      <c r="I154" s="100">
        <f>+J154*K154</f>
        <v>672.28000000000009</v>
      </c>
      <c r="J154" s="97">
        <v>196</v>
      </c>
      <c r="K154" s="110">
        <v>3.43</v>
      </c>
      <c r="L154" s="101">
        <f t="shared" si="11"/>
        <v>698.49799999999971</v>
      </c>
      <c r="M154" s="98">
        <f t="shared" si="11"/>
        <v>198.01432360742712</v>
      </c>
      <c r="N154" s="111">
        <f>+L154/M154</f>
        <v>3.5275124913933271</v>
      </c>
      <c r="O154" s="102">
        <f>+P154*Q154</f>
        <v>2849.52</v>
      </c>
      <c r="P154" s="99">
        <v>766</v>
      </c>
      <c r="Q154" s="113">
        <v>3.72</v>
      </c>
      <c r="R154" s="82" t="s">
        <v>184</v>
      </c>
    </row>
    <row r="155" spans="1:18" x14ac:dyDescent="0.3">
      <c r="A155" s="41" t="s">
        <v>67</v>
      </c>
      <c r="B155" s="42">
        <v>2015</v>
      </c>
      <c r="C155" s="188">
        <f>+D155*E155</f>
        <v>654.81000000000006</v>
      </c>
      <c r="D155" s="183">
        <v>219</v>
      </c>
      <c r="E155" s="189">
        <v>2.99</v>
      </c>
      <c r="F155" s="190">
        <v>717</v>
      </c>
      <c r="G155" s="184">
        <v>226</v>
      </c>
      <c r="H155" s="191">
        <v>1.76</v>
      </c>
      <c r="I155" s="192">
        <f>+J155*K155</f>
        <v>403.56</v>
      </c>
      <c r="J155" s="185">
        <v>228</v>
      </c>
      <c r="K155" s="193">
        <v>1.77</v>
      </c>
      <c r="L155" s="194">
        <f>+O155-C155-F155-I155</f>
        <v>355.26000000000016</v>
      </c>
      <c r="M155" s="186">
        <f>+P155-D155-G155-J155</f>
        <v>226</v>
      </c>
      <c r="N155" s="195">
        <f>+L155/M155</f>
        <v>1.571946902654868</v>
      </c>
      <c r="O155" s="196">
        <f>+P155*Q155</f>
        <v>2130.63</v>
      </c>
      <c r="P155" s="187">
        <v>899</v>
      </c>
      <c r="Q155" s="197">
        <v>2.37</v>
      </c>
      <c r="R155" s="82"/>
    </row>
    <row r="156" spans="1:18" x14ac:dyDescent="0.3">
      <c r="A156" s="131" t="s">
        <v>69</v>
      </c>
      <c r="B156" s="82">
        <v>2007</v>
      </c>
      <c r="C156" s="104"/>
      <c r="D156" s="93"/>
      <c r="E156" s="108"/>
      <c r="F156" s="106"/>
      <c r="G156" s="105"/>
      <c r="H156" s="109"/>
      <c r="I156" s="100"/>
      <c r="J156" s="94"/>
      <c r="K156" s="110"/>
      <c r="L156" s="101"/>
      <c r="M156" s="98"/>
      <c r="N156" s="111"/>
      <c r="O156" s="102"/>
      <c r="P156" s="95"/>
      <c r="Q156" s="112"/>
      <c r="R156" s="82"/>
    </row>
    <row r="157" spans="1:18" x14ac:dyDescent="0.3">
      <c r="A157" s="131" t="s">
        <v>69</v>
      </c>
      <c r="B157" s="16">
        <v>2008</v>
      </c>
      <c r="C157" s="104"/>
      <c r="D157" s="93"/>
      <c r="E157" s="108"/>
      <c r="F157" s="106"/>
      <c r="G157" s="105"/>
      <c r="H157" s="109"/>
      <c r="I157" s="100"/>
      <c r="J157" s="94"/>
      <c r="K157" s="110"/>
      <c r="L157" s="101"/>
      <c r="M157" s="98"/>
      <c r="N157" s="111"/>
      <c r="O157" s="102"/>
      <c r="P157" s="95"/>
      <c r="Q157" s="112"/>
      <c r="R157" s="82"/>
    </row>
    <row r="158" spans="1:18" x14ac:dyDescent="0.3">
      <c r="A158" s="131" t="s">
        <v>69</v>
      </c>
      <c r="B158" s="53">
        <v>2009</v>
      </c>
      <c r="C158" s="104"/>
      <c r="D158" s="93"/>
      <c r="E158" s="108"/>
      <c r="F158" s="106"/>
      <c r="G158" s="105"/>
      <c r="H158" s="109"/>
      <c r="I158" s="100"/>
      <c r="J158" s="94"/>
      <c r="K158" s="110"/>
      <c r="L158" s="101"/>
      <c r="M158" s="98"/>
      <c r="N158" s="111"/>
      <c r="O158" s="102"/>
      <c r="P158" s="95"/>
      <c r="Q158" s="112"/>
      <c r="R158" s="82"/>
    </row>
    <row r="159" spans="1:18" x14ac:dyDescent="0.3">
      <c r="A159" s="131" t="s">
        <v>69</v>
      </c>
      <c r="B159" s="16">
        <v>2010</v>
      </c>
      <c r="C159" s="104"/>
      <c r="D159" s="93"/>
      <c r="E159" s="108"/>
      <c r="F159" s="106"/>
      <c r="G159" s="105"/>
      <c r="H159" s="109"/>
      <c r="I159" s="100"/>
      <c r="J159" s="94"/>
      <c r="K159" s="110"/>
      <c r="L159" s="101"/>
      <c r="M159" s="98"/>
      <c r="N159" s="111"/>
      <c r="O159" s="102"/>
      <c r="P159" s="95"/>
      <c r="Q159" s="112"/>
      <c r="R159" s="82"/>
    </row>
    <row r="160" spans="1:18" x14ac:dyDescent="0.3">
      <c r="A160" s="131" t="s">
        <v>69</v>
      </c>
      <c r="B160" s="53">
        <v>2011</v>
      </c>
      <c r="C160" s="104"/>
      <c r="D160" s="93"/>
      <c r="E160" s="108"/>
      <c r="F160" s="106"/>
      <c r="G160" s="105"/>
      <c r="H160" s="109"/>
      <c r="I160" s="100"/>
      <c r="J160" s="94"/>
      <c r="K160" s="110"/>
      <c r="L160" s="101"/>
      <c r="M160" s="98"/>
      <c r="N160" s="111"/>
      <c r="O160" s="102"/>
      <c r="P160" s="95"/>
      <c r="Q160" s="112"/>
      <c r="R160" s="82"/>
    </row>
    <row r="161" spans="1:18" x14ac:dyDescent="0.3">
      <c r="A161" s="131" t="s">
        <v>69</v>
      </c>
      <c r="B161" s="16">
        <v>2012</v>
      </c>
      <c r="C161" s="104">
        <v>191.04</v>
      </c>
      <c r="D161" s="93">
        <f>+C161/E161</f>
        <v>66.564459930313589</v>
      </c>
      <c r="E161" s="108">
        <v>2.87</v>
      </c>
      <c r="F161" s="106">
        <v>234.785</v>
      </c>
      <c r="G161" s="105">
        <f>+F161/H161</f>
        <v>58.115099009900987</v>
      </c>
      <c r="H161" s="109">
        <v>4.04</v>
      </c>
      <c r="I161" s="100">
        <v>169.59399999999999</v>
      </c>
      <c r="J161" s="94">
        <f>+I161/K161</f>
        <v>41.063922518159806</v>
      </c>
      <c r="K161" s="110">
        <v>4.13</v>
      </c>
      <c r="L161" s="101">
        <f t="shared" ref="L161:M163" si="12">+O161-C161-F161-I161</f>
        <v>404.3141</v>
      </c>
      <c r="M161" s="98">
        <f t="shared" si="12"/>
        <v>83.566518541625612</v>
      </c>
      <c r="N161" s="111">
        <f>+L161/M161</f>
        <v>4.8382307538467773</v>
      </c>
      <c r="O161" s="102">
        <f>+P161*Q161</f>
        <v>999.73309999999992</v>
      </c>
      <c r="P161" s="95">
        <v>249.31</v>
      </c>
      <c r="Q161" s="112">
        <v>4.01</v>
      </c>
      <c r="R161" s="82"/>
    </row>
    <row r="162" spans="1:18" x14ac:dyDescent="0.3">
      <c r="A162" s="43" t="s">
        <v>69</v>
      </c>
      <c r="B162" s="53">
        <v>2013</v>
      </c>
      <c r="C162" s="104">
        <f>+D162*E162</f>
        <v>202.04450000000003</v>
      </c>
      <c r="D162" s="96">
        <v>57.727000000000004</v>
      </c>
      <c r="E162" s="108">
        <v>3.5</v>
      </c>
      <c r="F162" s="106">
        <f>+G162*H162</f>
        <v>215.1712</v>
      </c>
      <c r="G162" s="107">
        <v>56.624000000000002</v>
      </c>
      <c r="H162" s="109">
        <v>3.8</v>
      </c>
      <c r="I162" s="100">
        <f>+J162*K162</f>
        <v>189.99838</v>
      </c>
      <c r="J162" s="97">
        <v>55.717999999999996</v>
      </c>
      <c r="K162" s="110">
        <v>3.41</v>
      </c>
      <c r="L162" s="101">
        <f t="shared" si="12"/>
        <v>195.7217599999999</v>
      </c>
      <c r="M162" s="98">
        <f t="shared" si="12"/>
        <v>54.843000000000011</v>
      </c>
      <c r="N162" s="111">
        <f>+L162/M162</f>
        <v>3.5687646554710697</v>
      </c>
      <c r="O162" s="102">
        <f>+P162*Q162</f>
        <v>802.93583999999998</v>
      </c>
      <c r="P162" s="99">
        <v>224.91200000000001</v>
      </c>
      <c r="Q162" s="113">
        <v>3.57</v>
      </c>
      <c r="R162" s="82"/>
    </row>
    <row r="163" spans="1:18" x14ac:dyDescent="0.3">
      <c r="A163" s="43" t="s">
        <v>69</v>
      </c>
      <c r="B163" s="53">
        <v>2014</v>
      </c>
      <c r="C163" s="104">
        <f>+D163*E163</f>
        <v>264.32832000000002</v>
      </c>
      <c r="D163" s="96">
        <v>53.292000000000002</v>
      </c>
      <c r="E163" s="108">
        <v>4.96</v>
      </c>
      <c r="F163" s="106">
        <f>+G163*H163</f>
        <v>194.91472999999999</v>
      </c>
      <c r="G163" s="107">
        <v>53.993000000000002</v>
      </c>
      <c r="H163" s="109">
        <v>3.61</v>
      </c>
      <c r="I163" s="100">
        <f>+J163*K163</f>
        <v>204.57256000000001</v>
      </c>
      <c r="J163" s="97">
        <v>56.984000000000002</v>
      </c>
      <c r="K163" s="110">
        <v>3.59</v>
      </c>
      <c r="L163" s="101">
        <f t="shared" si="12"/>
        <v>257.10790000000003</v>
      </c>
      <c r="M163" s="98">
        <f t="shared" si="12"/>
        <v>64.24799999999999</v>
      </c>
      <c r="N163" s="111">
        <f>+L163/M163</f>
        <v>4.001803947204583</v>
      </c>
      <c r="O163" s="102">
        <f>+P163*Q163</f>
        <v>920.92351000000008</v>
      </c>
      <c r="P163" s="99">
        <v>228.517</v>
      </c>
      <c r="Q163" s="113">
        <v>4.03</v>
      </c>
      <c r="R163" s="82" t="s">
        <v>168</v>
      </c>
    </row>
    <row r="164" spans="1:18" x14ac:dyDescent="0.3">
      <c r="A164" s="41" t="s">
        <v>69</v>
      </c>
      <c r="B164" s="42">
        <v>2015</v>
      </c>
      <c r="C164" s="188">
        <f>+D164*E164</f>
        <v>212.87615999999997</v>
      </c>
      <c r="D164" s="183">
        <v>64.703999999999994</v>
      </c>
      <c r="E164" s="189">
        <v>3.29</v>
      </c>
      <c r="F164" s="190">
        <f>+G164*H164</f>
        <v>216.9162</v>
      </c>
      <c r="G164" s="184">
        <v>65.14</v>
      </c>
      <c r="H164" s="191">
        <v>3.33</v>
      </c>
      <c r="I164" s="192">
        <f>+J164*K164</f>
        <v>233.74602000000002</v>
      </c>
      <c r="J164" s="185">
        <v>70.194000000000003</v>
      </c>
      <c r="K164" s="193">
        <v>3.33</v>
      </c>
      <c r="L164" s="194">
        <f>+O164-C164-F164-I164</f>
        <v>180.97718</v>
      </c>
      <c r="M164" s="186">
        <f>+P164-D164-G164-J164</f>
        <v>68.916000000000011</v>
      </c>
      <c r="N164" s="195">
        <f>+L164/M164</f>
        <v>2.6260546172151602</v>
      </c>
      <c r="O164" s="196">
        <f>+P164*Q164</f>
        <v>844.51556000000005</v>
      </c>
      <c r="P164" s="187">
        <v>268.95400000000001</v>
      </c>
      <c r="Q164" s="197">
        <v>3.14</v>
      </c>
    </row>
  </sheetData>
  <mergeCells count="5">
    <mergeCell ref="C1:E1"/>
    <mergeCell ref="F1:H1"/>
    <mergeCell ref="I1:K1"/>
    <mergeCell ref="L1:N1"/>
    <mergeCell ref="O1:Q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5"/>
  <sheetViews>
    <sheetView workbookViewId="0">
      <pane xSplit="2" ySplit="2" topLeftCell="C18" activePane="bottomRight" state="frozen"/>
      <selection pane="topRight" activeCell="C1" sqref="C1"/>
      <selection pane="bottomLeft" activeCell="A3" sqref="A3"/>
      <selection pane="bottomRight" activeCell="R126" sqref="R126"/>
    </sheetView>
  </sheetViews>
  <sheetFormatPr defaultRowHeight="14.4" x14ac:dyDescent="0.3"/>
  <cols>
    <col min="1" max="1" width="7.33203125" customWidth="1"/>
    <col min="18" max="18" width="24.44140625" bestFit="1" customWidth="1"/>
    <col min="20" max="23" width="12.109375" customWidth="1"/>
    <col min="24" max="24" width="15.109375" bestFit="1" customWidth="1"/>
    <col min="26" max="26" width="62.109375" bestFit="1" customWidth="1"/>
  </cols>
  <sheetData>
    <row r="1" spans="1:26" x14ac:dyDescent="0.3">
      <c r="C1" s="356" t="s">
        <v>158</v>
      </c>
      <c r="D1" s="356"/>
      <c r="E1" s="357"/>
      <c r="F1" s="358" t="s">
        <v>159</v>
      </c>
      <c r="G1" s="359"/>
      <c r="H1" s="360"/>
      <c r="I1" s="361" t="s">
        <v>160</v>
      </c>
      <c r="J1" s="362"/>
      <c r="K1" s="363"/>
      <c r="L1" s="364" t="s">
        <v>165</v>
      </c>
      <c r="M1" s="365"/>
      <c r="N1" s="366"/>
      <c r="O1" s="367" t="s">
        <v>161</v>
      </c>
      <c r="P1" s="368"/>
      <c r="Q1" s="369"/>
    </row>
    <row r="2" spans="1:26" x14ac:dyDescent="0.3">
      <c r="C2" s="104" t="s">
        <v>174</v>
      </c>
      <c r="D2" s="96" t="s">
        <v>175</v>
      </c>
      <c r="E2" s="108" t="s">
        <v>164</v>
      </c>
      <c r="F2" s="106" t="s">
        <v>174</v>
      </c>
      <c r="G2" s="107" t="s">
        <v>175</v>
      </c>
      <c r="H2" s="109" t="s">
        <v>164</v>
      </c>
      <c r="I2" s="100" t="s">
        <v>174</v>
      </c>
      <c r="J2" s="97" t="s">
        <v>175</v>
      </c>
      <c r="K2" s="110" t="s">
        <v>164</v>
      </c>
      <c r="L2" s="101" t="s">
        <v>174</v>
      </c>
      <c r="M2" s="98" t="s">
        <v>175</v>
      </c>
      <c r="N2" s="129" t="s">
        <v>164</v>
      </c>
      <c r="O2" s="103" t="s">
        <v>174</v>
      </c>
      <c r="P2" s="99" t="s">
        <v>175</v>
      </c>
      <c r="Q2" s="113" t="s">
        <v>164</v>
      </c>
    </row>
    <row r="3" spans="1:26" x14ac:dyDescent="0.3">
      <c r="A3" s="131" t="s">
        <v>21</v>
      </c>
      <c r="B3" s="82">
        <v>2007</v>
      </c>
      <c r="C3" s="104"/>
      <c r="D3" s="93"/>
      <c r="E3" s="108"/>
      <c r="F3" s="106"/>
      <c r="G3" s="105"/>
      <c r="H3" s="109"/>
      <c r="I3" s="100"/>
      <c r="J3" s="94"/>
      <c r="K3" s="110"/>
      <c r="L3" s="101"/>
      <c r="M3" s="98"/>
      <c r="N3" s="111"/>
      <c r="O3" s="102"/>
      <c r="P3" s="95"/>
      <c r="Q3" s="112"/>
    </row>
    <row r="4" spans="1:26" x14ac:dyDescent="0.3">
      <c r="A4" s="131" t="s">
        <v>21</v>
      </c>
      <c r="B4" s="16">
        <v>2008</v>
      </c>
      <c r="C4" s="104"/>
      <c r="D4" s="93"/>
      <c r="E4" s="108"/>
      <c r="F4" s="106"/>
      <c r="G4" s="105"/>
      <c r="H4" s="109"/>
      <c r="I4" s="100"/>
      <c r="J4" s="94"/>
      <c r="K4" s="110"/>
      <c r="L4" s="101"/>
      <c r="M4" s="98"/>
      <c r="N4" s="111"/>
      <c r="O4" s="102"/>
      <c r="P4" s="95"/>
      <c r="Q4" s="112"/>
    </row>
    <row r="5" spans="1:26" x14ac:dyDescent="0.3">
      <c r="A5" s="131" t="s">
        <v>21</v>
      </c>
      <c r="B5" s="53">
        <v>2009</v>
      </c>
      <c r="C5" s="104"/>
      <c r="D5" s="93"/>
      <c r="E5" s="108"/>
      <c r="F5" s="106"/>
      <c r="G5" s="105"/>
      <c r="H5" s="109"/>
      <c r="I5" s="100"/>
      <c r="J5" s="94"/>
      <c r="K5" s="110"/>
      <c r="L5" s="101"/>
      <c r="M5" s="98"/>
      <c r="N5" s="111"/>
      <c r="O5" s="102"/>
      <c r="P5" s="95"/>
      <c r="Q5" s="112"/>
    </row>
    <row r="6" spans="1:26" x14ac:dyDescent="0.3">
      <c r="A6" s="131" t="s">
        <v>21</v>
      </c>
      <c r="B6" s="16">
        <v>2010</v>
      </c>
      <c r="C6" s="104"/>
      <c r="D6" s="93"/>
      <c r="E6" s="108"/>
      <c r="F6" s="106"/>
      <c r="G6" s="105"/>
      <c r="H6" s="109"/>
      <c r="I6" s="100"/>
      <c r="J6" s="94"/>
      <c r="K6" s="110"/>
      <c r="L6" s="101"/>
      <c r="M6" s="98"/>
      <c r="N6" s="111"/>
      <c r="O6" s="102"/>
      <c r="P6" s="95"/>
      <c r="Q6" s="112"/>
    </row>
    <row r="7" spans="1:26" x14ac:dyDescent="0.3">
      <c r="A7" s="131" t="s">
        <v>21</v>
      </c>
      <c r="B7" s="53">
        <v>2011</v>
      </c>
      <c r="C7" s="104"/>
      <c r="D7" s="93"/>
      <c r="E7" s="108"/>
      <c r="F7" s="106"/>
      <c r="G7" s="105"/>
      <c r="H7" s="109"/>
      <c r="I7" s="100"/>
      <c r="J7" s="94"/>
      <c r="K7" s="110"/>
      <c r="L7" s="101"/>
      <c r="M7" s="98"/>
      <c r="N7" s="111"/>
      <c r="O7" s="102"/>
      <c r="P7" s="95"/>
      <c r="Q7" s="112"/>
    </row>
    <row r="8" spans="1:26" x14ac:dyDescent="0.3">
      <c r="A8" s="131" t="s">
        <v>21</v>
      </c>
      <c r="B8" s="16">
        <v>2012</v>
      </c>
      <c r="C8" s="104">
        <f>+D8*E8</f>
        <v>1269</v>
      </c>
      <c r="D8" s="93">
        <v>12</v>
      </c>
      <c r="E8" s="108">
        <v>105.75</v>
      </c>
      <c r="F8" s="106">
        <f>+G8*H8</f>
        <v>1473</v>
      </c>
      <c r="G8" s="105">
        <v>15</v>
      </c>
      <c r="H8" s="109">
        <v>98.2</v>
      </c>
      <c r="I8" s="100">
        <f>+J8*K8</f>
        <v>1224.47</v>
      </c>
      <c r="J8" s="94">
        <v>13</v>
      </c>
      <c r="K8" s="110">
        <v>94.19</v>
      </c>
      <c r="L8" s="101">
        <f t="shared" ref="L8:M10" si="0">+O8-I8-F8-C8</f>
        <v>1393.829999999999</v>
      </c>
      <c r="M8" s="98">
        <f t="shared" si="0"/>
        <v>15</v>
      </c>
      <c r="N8" s="111">
        <f>+L8/M8</f>
        <v>92.92199999999994</v>
      </c>
      <c r="O8" s="102">
        <f>+P8*Q8</f>
        <v>5360.2999999999993</v>
      </c>
      <c r="P8" s="95">
        <v>55</v>
      </c>
      <c r="Q8" s="112">
        <v>97.46</v>
      </c>
    </row>
    <row r="9" spans="1:26" x14ac:dyDescent="0.3">
      <c r="A9" s="43" t="s">
        <v>21</v>
      </c>
      <c r="B9" s="53">
        <v>2013</v>
      </c>
      <c r="C9" s="104">
        <f>+D9*E9</f>
        <v>1362.48</v>
      </c>
      <c r="D9" s="96">
        <v>14</v>
      </c>
      <c r="E9" s="108">
        <v>97.32</v>
      </c>
      <c r="F9" s="106">
        <f>+G9*H9</f>
        <v>1329.86</v>
      </c>
      <c r="G9" s="107">
        <v>14</v>
      </c>
      <c r="H9" s="109">
        <v>94.99</v>
      </c>
      <c r="I9" s="100">
        <f>+J9*K9</f>
        <v>1444.1000000000001</v>
      </c>
      <c r="J9" s="97">
        <v>14</v>
      </c>
      <c r="K9" s="110">
        <v>103.15</v>
      </c>
      <c r="L9" s="101">
        <f t="shared" si="0"/>
        <v>1490.7199999999998</v>
      </c>
      <c r="M9" s="98">
        <f t="shared" si="0"/>
        <v>16</v>
      </c>
      <c r="N9" s="111">
        <f>+L9/M9</f>
        <v>93.169999999999987</v>
      </c>
      <c r="O9" s="102">
        <f>+P9*Q9</f>
        <v>5627.16</v>
      </c>
      <c r="P9" s="99">
        <v>58</v>
      </c>
      <c r="Q9" s="113">
        <v>97.02</v>
      </c>
    </row>
    <row r="10" spans="1:26" x14ac:dyDescent="0.3">
      <c r="A10" s="43" t="s">
        <v>21</v>
      </c>
      <c r="B10" s="53">
        <v>2014</v>
      </c>
      <c r="C10" s="104">
        <f>+D10*E10</f>
        <v>1517.44</v>
      </c>
      <c r="D10" s="96">
        <v>16</v>
      </c>
      <c r="E10" s="108">
        <v>94.84</v>
      </c>
      <c r="F10" s="106">
        <f>+G10*H10</f>
        <v>1776.42</v>
      </c>
      <c r="G10" s="107">
        <v>18</v>
      </c>
      <c r="H10" s="109">
        <v>98.69</v>
      </c>
      <c r="I10" s="100">
        <f>+J10*K10</f>
        <v>1851.8000000000002</v>
      </c>
      <c r="J10" s="97">
        <v>20</v>
      </c>
      <c r="K10" s="110">
        <v>92.59</v>
      </c>
      <c r="L10" s="101">
        <f t="shared" si="0"/>
        <v>1365.599999999999</v>
      </c>
      <c r="M10" s="98">
        <f t="shared" si="0"/>
        <v>20</v>
      </c>
      <c r="N10" s="111">
        <f>+L10/M10</f>
        <v>68.279999999999944</v>
      </c>
      <c r="O10" s="102">
        <f>+P10*Q10</f>
        <v>6511.2599999999993</v>
      </c>
      <c r="P10" s="99">
        <v>74</v>
      </c>
      <c r="Q10" s="113">
        <v>87.99</v>
      </c>
      <c r="R10" s="117" t="s">
        <v>70</v>
      </c>
    </row>
    <row r="11" spans="1:26" ht="15" thickBot="1" x14ac:dyDescent="0.35">
      <c r="A11" s="41" t="s">
        <v>21</v>
      </c>
      <c r="B11" s="42">
        <v>2015</v>
      </c>
      <c r="C11" s="188">
        <f>+D11*E11</f>
        <v>972.18</v>
      </c>
      <c r="D11" s="183">
        <v>22</v>
      </c>
      <c r="E11" s="189">
        <v>44.19</v>
      </c>
      <c r="F11" s="190">
        <f>+G11*H11</f>
        <v>1136.94</v>
      </c>
      <c r="G11" s="184">
        <v>21</v>
      </c>
      <c r="H11" s="191">
        <v>54.14</v>
      </c>
      <c r="I11" s="192">
        <f>+J11*K11</f>
        <v>913.07999999999993</v>
      </c>
      <c r="J11" s="185">
        <v>21</v>
      </c>
      <c r="K11" s="193">
        <v>43.48</v>
      </c>
      <c r="L11" s="194">
        <f>+O11-I11-F11-C11</f>
        <v>802.80000000000007</v>
      </c>
      <c r="M11" s="186">
        <f>+P11-J11-G11-D11</f>
        <v>21</v>
      </c>
      <c r="N11" s="195">
        <f>+L11/M11</f>
        <v>38.228571428571435</v>
      </c>
      <c r="O11" s="196">
        <f>+P11*Q11</f>
        <v>3825</v>
      </c>
      <c r="P11" s="187">
        <v>85</v>
      </c>
      <c r="Q11" s="197">
        <v>45</v>
      </c>
      <c r="S11" s="117"/>
      <c r="U11" s="119"/>
      <c r="X11" s="59"/>
    </row>
    <row r="12" spans="1:26" x14ac:dyDescent="0.3">
      <c r="A12" s="131" t="s">
        <v>27</v>
      </c>
      <c r="B12" s="82">
        <v>2007</v>
      </c>
      <c r="C12" s="104"/>
      <c r="D12" s="93"/>
      <c r="E12" s="108"/>
      <c r="F12" s="106"/>
      <c r="G12" s="105"/>
      <c r="H12" s="109"/>
      <c r="I12" s="100"/>
      <c r="J12" s="94"/>
      <c r="K12" s="110"/>
      <c r="L12" s="101"/>
      <c r="M12" s="98"/>
      <c r="N12" s="111"/>
      <c r="O12" s="102"/>
      <c r="P12" s="95"/>
      <c r="Q12" s="112"/>
      <c r="S12" s="124"/>
      <c r="T12" s="126" t="s">
        <v>169</v>
      </c>
      <c r="U12" s="126" t="s">
        <v>170</v>
      </c>
      <c r="V12" s="126" t="s">
        <v>171</v>
      </c>
      <c r="W12" s="127" t="s">
        <v>172</v>
      </c>
      <c r="X12" s="128" t="s">
        <v>173</v>
      </c>
    </row>
    <row r="13" spans="1:26" x14ac:dyDescent="0.3">
      <c r="A13" s="131" t="s">
        <v>27</v>
      </c>
      <c r="B13" s="16">
        <v>2008</v>
      </c>
      <c r="C13" s="104"/>
      <c r="D13" s="93"/>
      <c r="E13" s="108"/>
      <c r="F13" s="106"/>
      <c r="G13" s="105"/>
      <c r="H13" s="109"/>
      <c r="I13" s="100"/>
      <c r="J13" s="94"/>
      <c r="K13" s="110"/>
      <c r="L13" s="101"/>
      <c r="M13" s="98"/>
      <c r="N13" s="111"/>
      <c r="O13" s="102"/>
      <c r="P13" s="95"/>
      <c r="Q13" s="112"/>
      <c r="S13" s="125">
        <v>2012</v>
      </c>
      <c r="T13" s="120">
        <f>AVERAGE(E17,E26,E35,E80,E134,E143,E152)</f>
        <v>94.588333333333352</v>
      </c>
      <c r="U13" s="120">
        <f>AVERAGE(H17,H26,H35,H80,H134,H143,H152)</f>
        <v>93.758333333333326</v>
      </c>
      <c r="V13" s="120">
        <f>AVERAGE(K17,K26,K35,K80,K134,K143,K152)</f>
        <v>92.915000000000006</v>
      </c>
      <c r="W13" s="120">
        <f>AVERAGE(N17,N26,N35,N80,N134,N143,N152)</f>
        <v>90.607033274895016</v>
      </c>
      <c r="X13" s="121">
        <f>AVERAGE(Q17,Q26,Q35,Q80,Q134,Q143,Q152)</f>
        <v>92.38</v>
      </c>
    </row>
    <row r="14" spans="1:26" x14ac:dyDescent="0.3">
      <c r="A14" s="131" t="s">
        <v>27</v>
      </c>
      <c r="B14" s="53">
        <v>2009</v>
      </c>
      <c r="C14" s="104"/>
      <c r="D14" s="93"/>
      <c r="E14" s="108"/>
      <c r="F14" s="106"/>
      <c r="G14" s="105"/>
      <c r="H14" s="109"/>
      <c r="I14" s="100"/>
      <c r="J14" s="94"/>
      <c r="K14" s="110"/>
      <c r="L14" s="101"/>
      <c r="M14" s="98"/>
      <c r="N14" s="111"/>
      <c r="O14" s="102"/>
      <c r="P14" s="95"/>
      <c r="Q14" s="112"/>
      <c r="S14" s="125">
        <v>2013</v>
      </c>
      <c r="T14" s="120">
        <f>AVERAGE(E18,E27,E36,E81,E135,E144,E153)</f>
        <v>93.202857142857155</v>
      </c>
      <c r="U14" s="120">
        <f>AVERAGE(H18,H27,H36,H81,H135,H144,H153)</f>
        <v>93.354285714285737</v>
      </c>
      <c r="V14" s="120">
        <f>AVERAGE(K18,K27,K36,K81,K135,K144,K153)</f>
        <v>97.899999999999991</v>
      </c>
      <c r="W14" s="120">
        <f>AVERAGE(N18,N27,N36,N81,N135,N144,N153)</f>
        <v>91.838633894459221</v>
      </c>
      <c r="X14" s="121">
        <f>AVERAGE(Q18,Q27,Q36,Q81,Q135,Q144,Q153)</f>
        <v>94.247142857142862</v>
      </c>
    </row>
    <row r="15" spans="1:26" ht="15" thickBot="1" x14ac:dyDescent="0.35">
      <c r="A15" s="131" t="s">
        <v>27</v>
      </c>
      <c r="B15" s="16">
        <v>2010</v>
      </c>
      <c r="C15" s="104"/>
      <c r="D15" s="93"/>
      <c r="E15" s="108"/>
      <c r="F15" s="106"/>
      <c r="G15" s="105"/>
      <c r="H15" s="109"/>
      <c r="I15" s="100"/>
      <c r="J15" s="94"/>
      <c r="K15" s="110"/>
      <c r="L15" s="101"/>
      <c r="M15" s="98"/>
      <c r="N15" s="111"/>
      <c r="O15" s="102"/>
      <c r="P15" s="95"/>
      <c r="Q15" s="112"/>
      <c r="S15" s="118">
        <v>2014</v>
      </c>
      <c r="T15" s="122">
        <f>AVERAGE(E19,E28,E37,E82,E136,E145,E154)</f>
        <v>89.131428571428572</v>
      </c>
      <c r="U15" s="122">
        <f>AVERAGE(H19,H28,H37,H82,H136,H145,H154)</f>
        <v>90.891428571428577</v>
      </c>
      <c r="V15" s="122">
        <f>AVERAGE(K19,K28,K37,K82,K136,K145,K154)</f>
        <v>87.725714285714275</v>
      </c>
      <c r="W15" s="122">
        <f>AVERAGE(N19,N28,N37,N82,N136,N145,N154)</f>
        <v>72.263418925827892</v>
      </c>
      <c r="X15" s="123">
        <f>AVERAGE(Q19,Q28,Q37,Q82,Q136,Q145,Q154)</f>
        <v>82.858571428571423</v>
      </c>
    </row>
    <row r="16" spans="1:26" x14ac:dyDescent="0.3">
      <c r="A16" s="131" t="s">
        <v>27</v>
      </c>
      <c r="B16" s="53">
        <v>2011</v>
      </c>
      <c r="C16" s="104"/>
      <c r="D16" s="93"/>
      <c r="E16" s="108"/>
      <c r="F16" s="106"/>
      <c r="G16" s="105"/>
      <c r="H16" s="109"/>
      <c r="I16" s="100"/>
      <c r="J16" s="94"/>
      <c r="K16" s="110"/>
      <c r="L16" s="101"/>
      <c r="M16" s="98"/>
      <c r="N16" s="111"/>
      <c r="O16" s="102"/>
      <c r="P16" s="95"/>
      <c r="Q16" s="112"/>
      <c r="S16" s="117"/>
      <c r="Z16" s="135" t="s">
        <v>188</v>
      </c>
    </row>
    <row r="17" spans="1:26" x14ac:dyDescent="0.3">
      <c r="A17" s="131" t="s">
        <v>27</v>
      </c>
      <c r="B17" s="16">
        <v>2012</v>
      </c>
      <c r="C17" s="104">
        <f>+D17*E17</f>
        <v>1172.9941344000001</v>
      </c>
      <c r="D17" s="93">
        <f>0.125928*91.25</f>
        <v>11.490930000000001</v>
      </c>
      <c r="E17" s="108">
        <v>102.08</v>
      </c>
      <c r="F17" s="106">
        <f>+G17*H17</f>
        <v>1099.468773475</v>
      </c>
      <c r="G17" s="105">
        <f>0.127678*91.25</f>
        <v>11.650617500000001</v>
      </c>
      <c r="H17" s="109">
        <v>94.37</v>
      </c>
      <c r="I17" s="100">
        <f>+J17*K17</f>
        <v>1133.291545925</v>
      </c>
      <c r="J17" s="94">
        <f>0.133001*91.25</f>
        <v>12.136341250000001</v>
      </c>
      <c r="K17" s="110">
        <v>93.38</v>
      </c>
      <c r="L17" s="101">
        <f t="shared" ref="L17:M20" si="1">+O17-I17-F17-C17</f>
        <v>1257.7635462000001</v>
      </c>
      <c r="M17" s="98">
        <f t="shared" si="1"/>
        <v>13.822111249999997</v>
      </c>
      <c r="N17" s="111">
        <f>+L17/M17</f>
        <v>90.996485518809607</v>
      </c>
      <c r="O17" s="102">
        <f>+P17*Q17</f>
        <v>4663.518</v>
      </c>
      <c r="P17" s="95">
        <v>49.1</v>
      </c>
      <c r="Q17" s="112">
        <v>94.98</v>
      </c>
      <c r="S17" s="117"/>
      <c r="T17" s="135" t="s">
        <v>21</v>
      </c>
      <c r="U17" s="137" t="s">
        <v>40</v>
      </c>
      <c r="V17" s="135" t="s">
        <v>51</v>
      </c>
      <c r="W17" s="137" t="s">
        <v>63</v>
      </c>
      <c r="Z17" s="137" t="s">
        <v>180</v>
      </c>
    </row>
    <row r="18" spans="1:26" x14ac:dyDescent="0.3">
      <c r="A18" s="43" t="s">
        <v>27</v>
      </c>
      <c r="B18" s="53">
        <v>2013</v>
      </c>
      <c r="C18" s="104">
        <f>+D18*E18</f>
        <v>1286.4324944375001</v>
      </c>
      <c r="D18" s="96">
        <f>0.149263*91.25</f>
        <v>13.62024875</v>
      </c>
      <c r="E18" s="108">
        <v>94.45</v>
      </c>
      <c r="F18" s="106">
        <f>+G18*H18</f>
        <v>1394.29340445</v>
      </c>
      <c r="G18" s="107">
        <f>0.157298*91.25</f>
        <v>14.3534425</v>
      </c>
      <c r="H18" s="109">
        <v>97.14</v>
      </c>
      <c r="I18" s="100">
        <f>+J18*K18</f>
        <v>1580.6029167499998</v>
      </c>
      <c r="J18" s="97">
        <f>0.16369*91.25</f>
        <v>14.936712500000001</v>
      </c>
      <c r="K18" s="110">
        <v>105.82</v>
      </c>
      <c r="L18" s="101">
        <f t="shared" si="1"/>
        <v>998.97518436250016</v>
      </c>
      <c r="M18" s="98">
        <f t="shared" si="1"/>
        <v>10.689596250000003</v>
      </c>
      <c r="N18" s="111">
        <f>+L18/M18</f>
        <v>93.453032368972771</v>
      </c>
      <c r="O18" s="102">
        <f>+P18*Q18</f>
        <v>5260.3040000000001</v>
      </c>
      <c r="P18" s="99">
        <v>53.6</v>
      </c>
      <c r="Q18" s="113">
        <v>98.14</v>
      </c>
      <c r="R18" t="s">
        <v>192</v>
      </c>
      <c r="S18" s="117"/>
      <c r="T18" s="137" t="s">
        <v>27</v>
      </c>
      <c r="U18" s="137" t="s">
        <v>42</v>
      </c>
      <c r="V18" s="135" t="s">
        <v>54</v>
      </c>
      <c r="W18" s="136" t="s">
        <v>67</v>
      </c>
      <c r="Z18" s="136" t="s">
        <v>179</v>
      </c>
    </row>
    <row r="19" spans="1:26" x14ac:dyDescent="0.3">
      <c r="A19" s="43" t="s">
        <v>27</v>
      </c>
      <c r="B19" s="53">
        <v>2014</v>
      </c>
      <c r="C19" s="104">
        <f>+D19*E19</f>
        <v>1107.3071466500003</v>
      </c>
      <c r="D19" s="96">
        <f>0.127951*91.25</f>
        <v>11.675528750000002</v>
      </c>
      <c r="E19" s="108">
        <v>94.84</v>
      </c>
      <c r="F19" s="106">
        <f>+G19*H19</f>
        <v>1147.7599360499999</v>
      </c>
      <c r="G19" s="107">
        <f>0.130398*91.25</f>
        <v>11.898817499999998</v>
      </c>
      <c r="H19" s="109">
        <v>96.46</v>
      </c>
      <c r="I19" s="100">
        <f>+J19*K19</f>
        <v>1112.6589171750002</v>
      </c>
      <c r="J19" s="97">
        <f>0.133613*91.25</f>
        <v>12.192186250000001</v>
      </c>
      <c r="K19" s="110">
        <v>91.26</v>
      </c>
      <c r="L19" s="101">
        <f t="shared" si="1"/>
        <v>885.24500012500016</v>
      </c>
      <c r="M19" s="98">
        <f t="shared" si="1"/>
        <v>12.933467500000003</v>
      </c>
      <c r="N19" s="111">
        <f>+L19/M19</f>
        <v>68.446068320425283</v>
      </c>
      <c r="O19" s="102">
        <f>+P19*Q19</f>
        <v>4252.9710000000005</v>
      </c>
      <c r="P19" s="99">
        <v>48.7</v>
      </c>
      <c r="Q19" s="113">
        <v>87.33</v>
      </c>
      <c r="T19" s="137" t="s">
        <v>31</v>
      </c>
      <c r="U19" s="137" t="s">
        <v>44</v>
      </c>
      <c r="V19" s="135" t="s">
        <v>56</v>
      </c>
      <c r="W19" s="137" t="s">
        <v>69</v>
      </c>
    </row>
    <row r="20" spans="1:26" x14ac:dyDescent="0.3">
      <c r="A20" s="41" t="s">
        <v>27</v>
      </c>
      <c r="B20" s="42">
        <v>2015</v>
      </c>
      <c r="C20" s="188">
        <f>+D20*E20</f>
        <v>516.89132538750005</v>
      </c>
      <c r="D20" s="183">
        <f>0.126639*91.25</f>
        <v>11.555808750000001</v>
      </c>
      <c r="E20" s="189">
        <v>44.73</v>
      </c>
      <c r="F20" s="190">
        <f>+G20*H20</f>
        <v>628.53274844999999</v>
      </c>
      <c r="G20" s="184">
        <f>0.127698*91.25</f>
        <v>11.652442500000001</v>
      </c>
      <c r="H20" s="191">
        <v>53.94</v>
      </c>
      <c r="I20" s="192">
        <f>+J20*K20</f>
        <v>488.61834965000003</v>
      </c>
      <c r="J20" s="185">
        <f>0.120412*91.25</f>
        <v>10.987595000000001</v>
      </c>
      <c r="K20" s="193">
        <v>44.47</v>
      </c>
      <c r="L20" s="194">
        <f t="shared" si="1"/>
        <v>427.47857651250013</v>
      </c>
      <c r="M20" s="186">
        <f t="shared" si="1"/>
        <v>10.904153750000003</v>
      </c>
      <c r="N20" s="195">
        <f>+L20/M20</f>
        <v>39.203278522416291</v>
      </c>
      <c r="O20" s="196">
        <f>+P20*Q20</f>
        <v>2061.5210000000002</v>
      </c>
      <c r="P20" s="187">
        <v>45.1</v>
      </c>
      <c r="Q20" s="197">
        <v>45.71</v>
      </c>
      <c r="T20" s="137" t="s">
        <v>36</v>
      </c>
      <c r="U20" s="136" t="s">
        <v>48</v>
      </c>
      <c r="V20" s="135" t="s">
        <v>59</v>
      </c>
    </row>
    <row r="21" spans="1:26" x14ac:dyDescent="0.3">
      <c r="A21" s="131" t="s">
        <v>31</v>
      </c>
      <c r="B21" s="82">
        <v>2007</v>
      </c>
      <c r="C21" s="104"/>
      <c r="D21" s="93"/>
      <c r="E21" s="108"/>
      <c r="F21" s="106"/>
      <c r="G21" s="105"/>
      <c r="H21" s="109"/>
      <c r="I21" s="100"/>
      <c r="J21" s="94"/>
      <c r="K21" s="110"/>
      <c r="L21" s="101"/>
      <c r="M21" s="98"/>
      <c r="N21" s="111"/>
      <c r="O21" s="102"/>
      <c r="P21" s="95"/>
      <c r="Q21" s="112"/>
    </row>
    <row r="22" spans="1:26" x14ac:dyDescent="0.3">
      <c r="A22" s="131" t="s">
        <v>31</v>
      </c>
      <c r="B22" s="16">
        <v>2008</v>
      </c>
      <c r="C22" s="104"/>
      <c r="D22" s="93"/>
      <c r="E22" s="108"/>
      <c r="F22" s="106"/>
      <c r="G22" s="105"/>
      <c r="H22" s="109"/>
      <c r="I22" s="100"/>
      <c r="J22" s="94"/>
      <c r="K22" s="110"/>
      <c r="L22" s="101"/>
      <c r="M22" s="98"/>
      <c r="N22" s="111"/>
      <c r="O22" s="102"/>
      <c r="P22" s="95"/>
      <c r="Q22" s="112"/>
    </row>
    <row r="23" spans="1:26" x14ac:dyDescent="0.3">
      <c r="A23" s="131" t="s">
        <v>31</v>
      </c>
      <c r="B23" s="53">
        <v>2009</v>
      </c>
      <c r="C23" s="104"/>
      <c r="D23" s="93"/>
      <c r="E23" s="108"/>
      <c r="F23" s="106"/>
      <c r="G23" s="105"/>
      <c r="H23" s="109"/>
      <c r="I23" s="100"/>
      <c r="J23" s="94"/>
      <c r="K23" s="110"/>
      <c r="L23" s="101"/>
      <c r="M23" s="98"/>
      <c r="N23" s="111"/>
      <c r="O23" s="102"/>
      <c r="P23" s="95"/>
      <c r="Q23" s="112"/>
    </row>
    <row r="24" spans="1:26" x14ac:dyDescent="0.3">
      <c r="A24" s="131" t="s">
        <v>31</v>
      </c>
      <c r="B24" s="16">
        <v>2010</v>
      </c>
      <c r="C24" s="104"/>
      <c r="D24" s="93"/>
      <c r="E24" s="108"/>
      <c r="F24" s="106"/>
      <c r="G24" s="105"/>
      <c r="H24" s="109"/>
      <c r="I24" s="100"/>
      <c r="J24" s="94"/>
      <c r="K24" s="110"/>
      <c r="L24" s="101"/>
      <c r="M24" s="98"/>
      <c r="N24" s="111"/>
      <c r="O24" s="102"/>
      <c r="P24" s="95"/>
      <c r="Q24" s="112"/>
    </row>
    <row r="25" spans="1:26" x14ac:dyDescent="0.3">
      <c r="A25" s="131" t="s">
        <v>31</v>
      </c>
      <c r="B25" s="53">
        <v>2011</v>
      </c>
      <c r="C25" s="104"/>
      <c r="D25" s="93"/>
      <c r="E25" s="108"/>
      <c r="F25" s="106"/>
      <c r="G25" s="105"/>
      <c r="H25" s="109"/>
      <c r="I25" s="100"/>
      <c r="J25" s="94"/>
      <c r="K25" s="110"/>
      <c r="L25" s="101"/>
      <c r="M25" s="98"/>
      <c r="N25" s="111"/>
      <c r="O25" s="102"/>
      <c r="P25" s="95"/>
      <c r="Q25" s="112"/>
    </row>
    <row r="26" spans="1:26" x14ac:dyDescent="0.3">
      <c r="A26" s="131" t="s">
        <v>31</v>
      </c>
      <c r="B26" s="16">
        <v>2012</v>
      </c>
      <c r="C26" s="104">
        <v>49.981000000000002</v>
      </c>
      <c r="D26" s="93">
        <f>+C26/E26</f>
        <v>0.51702699906899763</v>
      </c>
      <c r="E26" s="108">
        <v>96.67</v>
      </c>
      <c r="F26" s="106">
        <v>57.466000000000001</v>
      </c>
      <c r="G26" s="105">
        <f>+F26/H26</f>
        <v>0.5600428808108372</v>
      </c>
      <c r="H26" s="109">
        <v>102.61</v>
      </c>
      <c r="I26" s="100">
        <v>57.87</v>
      </c>
      <c r="J26" s="94">
        <f>+I26/K26</f>
        <v>0.57104795737122549</v>
      </c>
      <c r="K26" s="110">
        <v>101.34</v>
      </c>
      <c r="L26" s="101">
        <f t="shared" ref="L26:M29" si="2">+O26-I26-F26-C26</f>
        <v>62.615999999999978</v>
      </c>
      <c r="M26" s="98">
        <f t="shared" si="2"/>
        <v>0.59421369250791634</v>
      </c>
      <c r="N26" s="111">
        <f>+L26/M26</f>
        <v>105.37623213582508</v>
      </c>
      <c r="O26" s="102">
        <v>227.93299999999999</v>
      </c>
      <c r="P26" s="95">
        <f>+O26/Q26</f>
        <v>2.2423315297589768</v>
      </c>
      <c r="Q26" s="112">
        <v>101.65</v>
      </c>
      <c r="R26" t="s">
        <v>189</v>
      </c>
    </row>
    <row r="27" spans="1:26" x14ac:dyDescent="0.3">
      <c r="A27" s="43" t="s">
        <v>31</v>
      </c>
      <c r="B27" s="53">
        <v>2013</v>
      </c>
      <c r="C27" s="104">
        <v>65.655000000000001</v>
      </c>
      <c r="D27" s="96">
        <f>+C27/E27</f>
        <v>0.63111602422378166</v>
      </c>
      <c r="E27" s="108">
        <v>104.03</v>
      </c>
      <c r="F27" s="106">
        <v>70.225999999999999</v>
      </c>
      <c r="G27" s="107">
        <f>+F27/H27</f>
        <v>0.692632409507841</v>
      </c>
      <c r="H27" s="109">
        <v>101.39</v>
      </c>
      <c r="I27" s="100">
        <v>84.209000000000003</v>
      </c>
      <c r="J27" s="97">
        <f>+I27/K27</f>
        <v>0.81157478797224358</v>
      </c>
      <c r="K27" s="110">
        <v>103.76</v>
      </c>
      <c r="L27" s="101">
        <f t="shared" si="2"/>
        <v>71.328000000000003</v>
      </c>
      <c r="M27" s="98">
        <f t="shared" si="2"/>
        <v>0.74629449806277082</v>
      </c>
      <c r="N27" s="111">
        <f>+L27/M27</f>
        <v>95.576210443937384</v>
      </c>
      <c r="O27" s="102">
        <v>291.41800000000001</v>
      </c>
      <c r="P27" s="99">
        <f>+O27/Q27</f>
        <v>2.8816177197666373</v>
      </c>
      <c r="Q27" s="113">
        <v>101.13</v>
      </c>
      <c r="R27" s="130" t="s">
        <v>176</v>
      </c>
    </row>
    <row r="28" spans="1:26" x14ac:dyDescent="0.3">
      <c r="A28" s="43" t="s">
        <v>31</v>
      </c>
      <c r="B28" s="53">
        <v>2014</v>
      </c>
      <c r="C28" s="104">
        <v>59.143999999999998</v>
      </c>
      <c r="D28" s="96">
        <f>+C28/E28</f>
        <v>0.60499181669394431</v>
      </c>
      <c r="E28" s="108">
        <v>97.76</v>
      </c>
      <c r="F28" s="106">
        <v>86.340999999999994</v>
      </c>
      <c r="G28" s="107">
        <f>+F28/H28</f>
        <v>0.86897141706924308</v>
      </c>
      <c r="H28" s="109">
        <v>99.36</v>
      </c>
      <c r="I28" s="100">
        <v>82.563000000000002</v>
      </c>
      <c r="J28" s="97">
        <f>+I28/K28</f>
        <v>0.87202154626108996</v>
      </c>
      <c r="K28" s="110">
        <v>94.68</v>
      </c>
      <c r="L28" s="101">
        <f t="shared" si="2"/>
        <v>85.841000000000008</v>
      </c>
      <c r="M28" s="98">
        <f t="shared" si="2"/>
        <v>1.2420152199757228</v>
      </c>
      <c r="N28" s="111">
        <f>+L28/M28</f>
        <v>69.114289921244207</v>
      </c>
      <c r="O28" s="102">
        <v>313.88900000000001</v>
      </c>
      <c r="P28" s="99">
        <v>3.5880000000000001</v>
      </c>
      <c r="Q28" s="113">
        <v>87.48</v>
      </c>
    </row>
    <row r="29" spans="1:26" x14ac:dyDescent="0.3">
      <c r="A29" s="41" t="s">
        <v>31</v>
      </c>
      <c r="B29" s="42">
        <v>2015</v>
      </c>
      <c r="C29" s="188">
        <f>+D29*E29</f>
        <v>62.574959999999997</v>
      </c>
      <c r="D29" s="183">
        <v>1.4279999999999999</v>
      </c>
      <c r="E29" s="189">
        <v>43.82</v>
      </c>
      <c r="F29" s="190">
        <v>81.233000000000004</v>
      </c>
      <c r="G29" s="184">
        <v>1.448</v>
      </c>
      <c r="H29" s="191">
        <v>56.1</v>
      </c>
      <c r="I29" s="192">
        <v>59.014000000000003</v>
      </c>
      <c r="J29" s="185">
        <v>1.35</v>
      </c>
      <c r="K29" s="193">
        <v>43.71</v>
      </c>
      <c r="L29" s="194">
        <f t="shared" si="2"/>
        <v>45.391920000000006</v>
      </c>
      <c r="M29" s="186">
        <f t="shared" si="2"/>
        <v>1.2030000000000007</v>
      </c>
      <c r="N29" s="195">
        <f>+L29/M29</f>
        <v>37.732269326683273</v>
      </c>
      <c r="O29" s="196">
        <f>+P29*Q29</f>
        <v>248.21388000000002</v>
      </c>
      <c r="P29" s="187">
        <v>5.4290000000000003</v>
      </c>
      <c r="Q29" s="197">
        <v>45.72</v>
      </c>
    </row>
    <row r="30" spans="1:26" x14ac:dyDescent="0.3">
      <c r="A30" s="131" t="s">
        <v>36</v>
      </c>
      <c r="B30" s="82">
        <v>2007</v>
      </c>
      <c r="C30" s="104"/>
      <c r="D30" s="93"/>
      <c r="E30" s="108"/>
      <c r="F30" s="106"/>
      <c r="G30" s="105"/>
      <c r="H30" s="109"/>
      <c r="I30" s="100"/>
      <c r="J30" s="94"/>
      <c r="K30" s="110"/>
      <c r="L30" s="101"/>
      <c r="M30" s="98"/>
      <c r="N30" s="111"/>
      <c r="O30" s="102"/>
      <c r="P30" s="95"/>
      <c r="Q30" s="112"/>
    </row>
    <row r="31" spans="1:26" x14ac:dyDescent="0.3">
      <c r="A31" s="131" t="s">
        <v>36</v>
      </c>
      <c r="B31" s="16">
        <v>2008</v>
      </c>
      <c r="C31" s="104"/>
      <c r="D31" s="93"/>
      <c r="E31" s="108"/>
      <c r="F31" s="106"/>
      <c r="G31" s="105"/>
      <c r="H31" s="109"/>
      <c r="I31" s="100"/>
      <c r="J31" s="94"/>
      <c r="K31" s="110"/>
      <c r="L31" s="101"/>
      <c r="M31" s="98"/>
      <c r="N31" s="111"/>
      <c r="O31" s="102"/>
      <c r="P31" s="95"/>
      <c r="Q31" s="112"/>
    </row>
    <row r="32" spans="1:26" x14ac:dyDescent="0.3">
      <c r="A32" s="131" t="s">
        <v>36</v>
      </c>
      <c r="B32" s="53">
        <v>2009</v>
      </c>
      <c r="C32" s="104"/>
      <c r="D32" s="93"/>
      <c r="E32" s="108"/>
      <c r="F32" s="106"/>
      <c r="G32" s="105"/>
      <c r="H32" s="109"/>
      <c r="I32" s="100"/>
      <c r="J32" s="94"/>
      <c r="K32" s="110"/>
      <c r="L32" s="101"/>
      <c r="M32" s="98"/>
      <c r="N32" s="111"/>
      <c r="O32" s="102"/>
      <c r="P32" s="95"/>
      <c r="Q32" s="112"/>
    </row>
    <row r="33" spans="1:26" x14ac:dyDescent="0.3">
      <c r="A33" s="131" t="s">
        <v>36</v>
      </c>
      <c r="B33" s="16">
        <v>2010</v>
      </c>
      <c r="C33" s="104"/>
      <c r="D33" s="93"/>
      <c r="E33" s="108"/>
      <c r="F33" s="106"/>
      <c r="G33" s="105"/>
      <c r="H33" s="109"/>
      <c r="I33" s="100"/>
      <c r="J33" s="94"/>
      <c r="K33" s="110"/>
      <c r="L33" s="101"/>
      <c r="M33" s="98"/>
      <c r="N33" s="111"/>
      <c r="O33" s="102"/>
      <c r="P33" s="95"/>
      <c r="Q33" s="112"/>
    </row>
    <row r="34" spans="1:26" x14ac:dyDescent="0.3">
      <c r="A34" s="131" t="s">
        <v>36</v>
      </c>
      <c r="B34" s="53">
        <v>2011</v>
      </c>
      <c r="C34" s="104"/>
      <c r="D34" s="93"/>
      <c r="E34" s="108"/>
      <c r="F34" s="106"/>
      <c r="G34" s="105"/>
      <c r="H34" s="109"/>
      <c r="I34" s="100"/>
      <c r="J34" s="94"/>
      <c r="K34" s="110"/>
      <c r="L34" s="101"/>
      <c r="M34" s="98"/>
      <c r="N34" s="111"/>
      <c r="O34" s="102"/>
      <c r="P34" s="95"/>
      <c r="Q34" s="112"/>
    </row>
    <row r="35" spans="1:26" x14ac:dyDescent="0.3">
      <c r="A35" s="131" t="s">
        <v>36</v>
      </c>
      <c r="B35" s="16">
        <v>2012</v>
      </c>
      <c r="C35" s="104">
        <f>+D35*E35</f>
        <v>555.78</v>
      </c>
      <c r="D35" s="93">
        <v>6</v>
      </c>
      <c r="E35" s="108">
        <v>92.63</v>
      </c>
      <c r="F35" s="106">
        <f>+G35*H35</f>
        <v>668.53399999999999</v>
      </c>
      <c r="G35" s="105">
        <v>7.3</v>
      </c>
      <c r="H35" s="109">
        <v>91.58</v>
      </c>
      <c r="I35" s="100">
        <f>+J35*K35</f>
        <v>817.11</v>
      </c>
      <c r="J35" s="94">
        <v>9</v>
      </c>
      <c r="K35" s="110">
        <v>90.79</v>
      </c>
      <c r="L35" s="101">
        <f t="shared" ref="L35:M38" si="3">+O35-I35-F35-C35</f>
        <v>802.51599999999985</v>
      </c>
      <c r="M35" s="98">
        <f t="shared" si="3"/>
        <v>8.6999999999999993</v>
      </c>
      <c r="N35" s="111">
        <f>+L35/M35</f>
        <v>92.243218390804586</v>
      </c>
      <c r="O35" s="102">
        <f>+P35*Q35</f>
        <v>2843.94</v>
      </c>
      <c r="P35" s="95">
        <v>31</v>
      </c>
      <c r="Q35" s="112">
        <v>91.74</v>
      </c>
    </row>
    <row r="36" spans="1:26" x14ac:dyDescent="0.3">
      <c r="A36" s="43" t="s">
        <v>36</v>
      </c>
      <c r="B36" s="53">
        <v>2013</v>
      </c>
      <c r="C36" s="104">
        <f>+D36*E36</f>
        <v>882.10500000000002</v>
      </c>
      <c r="D36" s="96">
        <v>9.3000000000000007</v>
      </c>
      <c r="E36" s="108">
        <v>94.85</v>
      </c>
      <c r="F36" s="106">
        <f>+G36*H36</f>
        <v>985.005</v>
      </c>
      <c r="G36" s="107">
        <v>10.5</v>
      </c>
      <c r="H36" s="109">
        <v>93.81</v>
      </c>
      <c r="I36" s="100">
        <f>+J36*K36</f>
        <v>1012.99</v>
      </c>
      <c r="J36" s="97">
        <v>11</v>
      </c>
      <c r="K36" s="110">
        <v>92.09</v>
      </c>
      <c r="L36" s="101">
        <f t="shared" si="3"/>
        <v>979.63999999999987</v>
      </c>
      <c r="M36" s="98">
        <f t="shared" si="3"/>
        <v>10.199999999999999</v>
      </c>
      <c r="N36" s="111">
        <f>+L36/M36</f>
        <v>96.04313725490195</v>
      </c>
      <c r="O36" s="102">
        <f>+P36*Q36</f>
        <v>3859.7400000000002</v>
      </c>
      <c r="P36" s="99">
        <v>41</v>
      </c>
      <c r="Q36" s="113">
        <v>94.14</v>
      </c>
      <c r="R36" t="s">
        <v>187</v>
      </c>
    </row>
    <row r="37" spans="1:26" x14ac:dyDescent="0.3">
      <c r="A37" s="43" t="s">
        <v>36</v>
      </c>
      <c r="B37" s="53">
        <v>2014</v>
      </c>
      <c r="C37" s="104">
        <f>+D37*E37</f>
        <v>842.29200000000003</v>
      </c>
      <c r="D37" s="96">
        <v>9.9</v>
      </c>
      <c r="E37" s="108">
        <v>85.08</v>
      </c>
      <c r="F37" s="106">
        <f>+G37*H37</f>
        <v>877.86900000000014</v>
      </c>
      <c r="G37" s="107">
        <v>10.3</v>
      </c>
      <c r="H37" s="109">
        <v>85.23</v>
      </c>
      <c r="I37" s="100">
        <f>+J37*K37</f>
        <v>924.42900000000009</v>
      </c>
      <c r="J37" s="97">
        <v>10.9</v>
      </c>
      <c r="K37" s="110">
        <v>84.81</v>
      </c>
      <c r="L37" s="101">
        <f t="shared" si="3"/>
        <v>927.09</v>
      </c>
      <c r="M37" s="98">
        <f t="shared" si="3"/>
        <v>10.9</v>
      </c>
      <c r="N37" s="111">
        <f>+L37/M37</f>
        <v>85.054128440366966</v>
      </c>
      <c r="O37" s="102">
        <f>+P37*Q37</f>
        <v>3571.6800000000003</v>
      </c>
      <c r="P37" s="99">
        <v>42</v>
      </c>
      <c r="Q37" s="113">
        <v>85.04</v>
      </c>
    </row>
    <row r="38" spans="1:26" x14ac:dyDescent="0.3">
      <c r="A38" s="41" t="s">
        <v>36</v>
      </c>
      <c r="B38" s="42">
        <v>2015</v>
      </c>
      <c r="C38" s="188">
        <f>+D38*E38</f>
        <v>688.27</v>
      </c>
      <c r="D38" s="183">
        <v>11</v>
      </c>
      <c r="E38" s="189">
        <v>62.57</v>
      </c>
      <c r="F38" s="190">
        <f>+G38*H38</f>
        <v>733.428</v>
      </c>
      <c r="G38" s="184">
        <v>10.8</v>
      </c>
      <c r="H38" s="191">
        <v>67.91</v>
      </c>
      <c r="I38" s="192">
        <f>+J38*K38</f>
        <v>658.14</v>
      </c>
      <c r="J38" s="185">
        <v>10.5</v>
      </c>
      <c r="K38" s="193">
        <v>62.68</v>
      </c>
      <c r="L38" s="194">
        <f t="shared" si="3"/>
        <v>730.38200000000006</v>
      </c>
      <c r="M38" s="186">
        <f t="shared" si="3"/>
        <v>9.6999999999999993</v>
      </c>
      <c r="N38" s="195">
        <f>+L38/M38</f>
        <v>75.297113402061868</v>
      </c>
      <c r="O38" s="196">
        <f>+P38*Q38</f>
        <v>2810.22</v>
      </c>
      <c r="P38" s="187">
        <v>42</v>
      </c>
      <c r="Q38" s="197">
        <v>66.91</v>
      </c>
    </row>
    <row r="39" spans="1:26" s="225" customFormat="1" x14ac:dyDescent="0.3">
      <c r="A39" s="43" t="s">
        <v>309</v>
      </c>
      <c r="B39" s="82">
        <v>2007</v>
      </c>
      <c r="C39" s="236"/>
      <c r="D39" s="237"/>
      <c r="E39" s="238"/>
      <c r="F39" s="239"/>
      <c r="G39" s="240"/>
      <c r="H39" s="241"/>
      <c r="I39" s="242"/>
      <c r="J39" s="243"/>
      <c r="K39" s="244"/>
      <c r="L39" s="245"/>
      <c r="M39" s="246"/>
      <c r="N39" s="247"/>
      <c r="O39" s="248"/>
      <c r="P39" s="249"/>
      <c r="Q39" s="250"/>
      <c r="R39" s="82"/>
      <c r="S39" s="115"/>
      <c r="T39" s="82"/>
      <c r="U39" s="82"/>
      <c r="V39" s="82"/>
      <c r="W39" s="82"/>
      <c r="X39" s="82"/>
      <c r="Y39" s="84"/>
      <c r="Z39" s="82"/>
    </row>
    <row r="40" spans="1:26" s="225" customFormat="1" x14ac:dyDescent="0.3">
      <c r="A40" s="43" t="s">
        <v>309</v>
      </c>
      <c r="B40" s="16">
        <v>2008</v>
      </c>
      <c r="C40" s="236"/>
      <c r="D40" s="237"/>
      <c r="E40" s="238"/>
      <c r="F40" s="239"/>
      <c r="G40" s="240"/>
      <c r="H40" s="241"/>
      <c r="I40" s="242"/>
      <c r="J40" s="243"/>
      <c r="K40" s="244"/>
      <c r="L40" s="245"/>
      <c r="M40" s="246"/>
      <c r="N40" s="247"/>
      <c r="O40" s="248"/>
      <c r="P40" s="249"/>
      <c r="Q40" s="250"/>
      <c r="R40" s="82"/>
      <c r="S40" s="115"/>
      <c r="T40" s="82"/>
      <c r="U40" s="82"/>
      <c r="V40" s="82"/>
      <c r="W40" s="82"/>
      <c r="X40" s="82"/>
      <c r="Y40" s="84"/>
      <c r="Z40" s="82"/>
    </row>
    <row r="41" spans="1:26" s="225" customFormat="1" x14ac:dyDescent="0.3">
      <c r="A41" s="43" t="s">
        <v>309</v>
      </c>
      <c r="B41" s="53">
        <v>2009</v>
      </c>
      <c r="C41" s="236"/>
      <c r="D41" s="237"/>
      <c r="E41" s="238"/>
      <c r="F41" s="239"/>
      <c r="G41" s="240"/>
      <c r="H41" s="241"/>
      <c r="I41" s="242"/>
      <c r="J41" s="243"/>
      <c r="K41" s="244"/>
      <c r="L41" s="245"/>
      <c r="M41" s="246"/>
      <c r="N41" s="247"/>
      <c r="O41" s="248"/>
      <c r="P41" s="249"/>
      <c r="Q41" s="250"/>
      <c r="R41" s="82"/>
      <c r="S41" s="115"/>
      <c r="T41" s="82"/>
      <c r="U41" s="82"/>
      <c r="V41" s="82"/>
      <c r="W41" s="82"/>
      <c r="X41" s="82"/>
      <c r="Y41" s="84"/>
      <c r="Z41" s="82"/>
    </row>
    <row r="42" spans="1:26" s="225" customFormat="1" x14ac:dyDescent="0.3">
      <c r="A42" s="43" t="s">
        <v>309</v>
      </c>
      <c r="B42" s="16">
        <v>2010</v>
      </c>
      <c r="C42" s="236"/>
      <c r="D42" s="237"/>
      <c r="E42" s="238"/>
      <c r="F42" s="239"/>
      <c r="G42" s="240"/>
      <c r="H42" s="241"/>
      <c r="I42" s="242"/>
      <c r="J42" s="243"/>
      <c r="K42" s="244"/>
      <c r="L42" s="245"/>
      <c r="M42" s="246"/>
      <c r="N42" s="247"/>
      <c r="O42" s="248"/>
      <c r="P42" s="249"/>
      <c r="Q42" s="250"/>
      <c r="R42" s="82"/>
      <c r="S42" s="115"/>
      <c r="T42" s="82"/>
      <c r="U42" s="82"/>
      <c r="V42" s="82"/>
      <c r="W42" s="82"/>
      <c r="X42" s="82"/>
      <c r="Y42" s="84"/>
      <c r="Z42" s="82"/>
    </row>
    <row r="43" spans="1:26" s="225" customFormat="1" x14ac:dyDescent="0.3">
      <c r="A43" s="43" t="s">
        <v>309</v>
      </c>
      <c r="B43" s="53">
        <v>2011</v>
      </c>
      <c r="C43" s="236"/>
      <c r="D43" s="237"/>
      <c r="E43" s="238"/>
      <c r="F43" s="239"/>
      <c r="G43" s="240"/>
      <c r="H43" s="241"/>
      <c r="I43" s="242"/>
      <c r="J43" s="243"/>
      <c r="K43" s="244"/>
      <c r="L43" s="245"/>
      <c r="M43" s="246"/>
      <c r="N43" s="247"/>
      <c r="O43" s="248"/>
      <c r="P43" s="248"/>
      <c r="Q43" s="250"/>
      <c r="R43" s="82"/>
      <c r="S43" s="115"/>
      <c r="T43" s="82"/>
      <c r="U43" s="82"/>
      <c r="V43" s="82"/>
      <c r="W43" s="82"/>
      <c r="X43" s="82"/>
      <c r="Y43" s="84"/>
      <c r="Z43" s="82"/>
    </row>
    <row r="44" spans="1:26" s="225" customFormat="1" x14ac:dyDescent="0.3">
      <c r="A44" s="43" t="s">
        <v>309</v>
      </c>
      <c r="B44" s="16">
        <v>2012</v>
      </c>
      <c r="C44" s="236"/>
      <c r="D44" s="237"/>
      <c r="E44" s="238"/>
      <c r="F44" s="239"/>
      <c r="G44" s="240"/>
      <c r="H44" s="241"/>
      <c r="I44" s="242"/>
      <c r="J44" s="243"/>
      <c r="K44" s="244"/>
      <c r="L44" s="245"/>
      <c r="M44" s="246"/>
      <c r="N44" s="247"/>
      <c r="O44" s="248">
        <f>+P44*Q44</f>
        <v>1505.3401100000003</v>
      </c>
      <c r="P44" s="248">
        <v>16.859000000000002</v>
      </c>
      <c r="Q44" s="250">
        <v>89.29</v>
      </c>
      <c r="R44" s="82"/>
      <c r="S44" s="115"/>
      <c r="T44" s="82"/>
      <c r="U44" s="82"/>
      <c r="V44" s="82"/>
      <c r="W44" s="82"/>
      <c r="X44" s="82"/>
      <c r="Y44" s="84"/>
      <c r="Z44" s="82"/>
    </row>
    <row r="45" spans="1:26" s="225" customFormat="1" x14ac:dyDescent="0.3">
      <c r="A45" s="43" t="s">
        <v>309</v>
      </c>
      <c r="B45" s="53">
        <v>2013</v>
      </c>
      <c r="C45" s="236"/>
      <c r="D45" s="237"/>
      <c r="E45" s="238"/>
      <c r="F45" s="239"/>
      <c r="G45" s="240"/>
      <c r="H45" s="241"/>
      <c r="I45" s="242"/>
      <c r="J45" s="243"/>
      <c r="K45" s="244"/>
      <c r="L45" s="245"/>
      <c r="M45" s="246"/>
      <c r="N45" s="247"/>
      <c r="O45" s="248">
        <f>+P45*Q45</f>
        <v>1896.9035400000002</v>
      </c>
      <c r="P45" s="248">
        <v>21.126000000000001</v>
      </c>
      <c r="Q45" s="250">
        <v>89.79</v>
      </c>
      <c r="R45" s="82"/>
      <c r="S45" s="115"/>
      <c r="T45" s="82"/>
      <c r="U45" s="82"/>
      <c r="V45" s="82"/>
      <c r="W45" s="82"/>
      <c r="X45" s="82"/>
      <c r="Y45" s="84"/>
      <c r="Z45" s="82"/>
    </row>
    <row r="46" spans="1:26" s="225" customFormat="1" x14ac:dyDescent="0.3">
      <c r="A46" s="43" t="s">
        <v>309</v>
      </c>
      <c r="B46" s="53">
        <v>2014</v>
      </c>
      <c r="C46" s="236"/>
      <c r="D46" s="237"/>
      <c r="E46" s="238"/>
      <c r="F46" s="239"/>
      <c r="G46" s="240"/>
      <c r="H46" s="241"/>
      <c r="I46" s="242"/>
      <c r="J46" s="243"/>
      <c r="K46" s="244"/>
      <c r="L46" s="245"/>
      <c r="M46" s="246"/>
      <c r="N46" s="247"/>
      <c r="O46" s="248">
        <f>+P46*Q46</f>
        <v>2265.2763299999997</v>
      </c>
      <c r="P46" s="249">
        <v>26.318999999999999</v>
      </c>
      <c r="Q46" s="250">
        <v>86.07</v>
      </c>
      <c r="R46" s="82"/>
      <c r="S46" s="115"/>
      <c r="T46" s="82"/>
      <c r="U46" s="82"/>
      <c r="V46" s="82"/>
      <c r="W46" s="82"/>
      <c r="X46" s="82"/>
      <c r="Y46" s="84"/>
      <c r="Z46" s="82"/>
    </row>
    <row r="47" spans="1:26" s="225" customFormat="1" x14ac:dyDescent="0.3">
      <c r="A47" s="43" t="s">
        <v>309</v>
      </c>
      <c r="B47" s="229">
        <v>2015</v>
      </c>
      <c r="C47" s="188"/>
      <c r="D47" s="259"/>
      <c r="E47" s="189"/>
      <c r="F47" s="190"/>
      <c r="G47" s="260"/>
      <c r="H47" s="191"/>
      <c r="I47" s="192"/>
      <c r="J47" s="261"/>
      <c r="K47" s="193"/>
      <c r="L47" s="194"/>
      <c r="M47" s="186"/>
      <c r="N47" s="262"/>
      <c r="O47" s="263">
        <f>+P47*Q47</f>
        <v>2137.36771</v>
      </c>
      <c r="P47" s="264">
        <v>34.457000000000001</v>
      </c>
      <c r="Q47" s="265">
        <v>62.03</v>
      </c>
      <c r="R47" s="82"/>
      <c r="S47" s="115"/>
      <c r="T47" s="82"/>
      <c r="U47" s="82"/>
      <c r="V47" s="82"/>
      <c r="W47" s="82"/>
      <c r="X47" s="82"/>
      <c r="Y47" s="84"/>
      <c r="Z47" s="82"/>
    </row>
    <row r="48" spans="1:26" x14ac:dyDescent="0.3">
      <c r="A48" s="131" t="s">
        <v>40</v>
      </c>
      <c r="B48" s="82">
        <v>2007</v>
      </c>
      <c r="C48" s="251"/>
      <c r="D48" s="93"/>
      <c r="E48" s="252"/>
      <c r="F48" s="253"/>
      <c r="G48" s="105"/>
      <c r="H48" s="254"/>
      <c r="I48" s="255"/>
      <c r="J48" s="94"/>
      <c r="K48" s="256"/>
      <c r="L48" s="257"/>
      <c r="M48" s="258"/>
      <c r="N48" s="111"/>
      <c r="O48" s="102"/>
      <c r="P48" s="95"/>
      <c r="Q48" s="112"/>
    </row>
    <row r="49" spans="1:18" x14ac:dyDescent="0.3">
      <c r="A49" s="131" t="s">
        <v>40</v>
      </c>
      <c r="B49" s="16">
        <v>2008</v>
      </c>
      <c r="C49" s="104"/>
      <c r="D49" s="93"/>
      <c r="E49" s="108"/>
      <c r="F49" s="106"/>
      <c r="G49" s="105"/>
      <c r="H49" s="109"/>
      <c r="I49" s="100"/>
      <c r="J49" s="94"/>
      <c r="K49" s="110"/>
      <c r="L49" s="101"/>
      <c r="M49" s="98"/>
      <c r="N49" s="111"/>
      <c r="O49" s="102"/>
      <c r="P49" s="95"/>
      <c r="Q49" s="112"/>
    </row>
    <row r="50" spans="1:18" x14ac:dyDescent="0.3">
      <c r="A50" s="131" t="s">
        <v>40</v>
      </c>
      <c r="B50" s="53">
        <v>2009</v>
      </c>
      <c r="C50" s="104"/>
      <c r="D50" s="93"/>
      <c r="E50" s="108"/>
      <c r="F50" s="106"/>
      <c r="G50" s="105"/>
      <c r="H50" s="109"/>
      <c r="I50" s="100"/>
      <c r="J50" s="94"/>
      <c r="K50" s="110"/>
      <c r="L50" s="101"/>
      <c r="M50" s="98"/>
      <c r="N50" s="111"/>
      <c r="O50" s="102"/>
      <c r="P50" s="95"/>
      <c r="Q50" s="112"/>
    </row>
    <row r="51" spans="1:18" x14ac:dyDescent="0.3">
      <c r="A51" s="131" t="s">
        <v>40</v>
      </c>
      <c r="B51" s="16">
        <v>2010</v>
      </c>
      <c r="C51" s="104"/>
      <c r="D51" s="93"/>
      <c r="E51" s="108"/>
      <c r="F51" s="106"/>
      <c r="G51" s="105"/>
      <c r="H51" s="109"/>
      <c r="I51" s="100"/>
      <c r="J51" s="94"/>
      <c r="K51" s="110"/>
      <c r="L51" s="101"/>
      <c r="M51" s="98"/>
      <c r="N51" s="111"/>
      <c r="O51" s="102"/>
      <c r="P51" s="95"/>
      <c r="Q51" s="112"/>
    </row>
    <row r="52" spans="1:18" x14ac:dyDescent="0.3">
      <c r="A52" s="131" t="s">
        <v>40</v>
      </c>
      <c r="B52" s="53">
        <v>2011</v>
      </c>
      <c r="C52" s="104"/>
      <c r="D52" s="93"/>
      <c r="E52" s="108"/>
      <c r="F52" s="106"/>
      <c r="G52" s="105"/>
      <c r="H52" s="109"/>
      <c r="I52" s="100"/>
      <c r="J52" s="94"/>
      <c r="K52" s="110"/>
      <c r="L52" s="101"/>
      <c r="M52" s="98"/>
      <c r="N52" s="111"/>
      <c r="O52" s="102"/>
      <c r="P52" s="95"/>
      <c r="Q52" s="112"/>
      <c r="R52" t="s">
        <v>277</v>
      </c>
    </row>
    <row r="53" spans="1:18" x14ac:dyDescent="0.3">
      <c r="A53" s="131" t="s">
        <v>40</v>
      </c>
      <c r="B53" s="16">
        <v>2012</v>
      </c>
      <c r="C53" s="104">
        <f>+D53*E53</f>
        <v>4241.3073000000004</v>
      </c>
      <c r="D53" s="93">
        <f>0.456*91.25</f>
        <v>41.61</v>
      </c>
      <c r="E53" s="108">
        <v>101.93</v>
      </c>
      <c r="F53" s="106">
        <f>+G53*H53</f>
        <v>4099.7767249999997</v>
      </c>
      <c r="G53" s="105">
        <f>0.461*91.25</f>
        <v>42.066250000000004</v>
      </c>
      <c r="H53" s="109">
        <v>97.46</v>
      </c>
      <c r="I53" s="100">
        <f>+J53*K53</f>
        <v>3644.4154999999996</v>
      </c>
      <c r="J53" s="94">
        <f>0.44*91.25</f>
        <v>40.15</v>
      </c>
      <c r="K53" s="110">
        <v>90.77</v>
      </c>
      <c r="L53" s="101">
        <f t="shared" ref="L53:M56" si="4">+O53-I53-F53-C53</f>
        <v>3819.3604749999995</v>
      </c>
      <c r="M53" s="98">
        <f t="shared" si="4"/>
        <v>42.173749999999998</v>
      </c>
      <c r="N53" s="111">
        <f>+L53/M53</f>
        <v>90.562505705563282</v>
      </c>
      <c r="O53" s="102">
        <f>+P53*Q53</f>
        <v>15804.859999999999</v>
      </c>
      <c r="P53" s="95">
        <v>166</v>
      </c>
      <c r="Q53" s="112">
        <v>95.21</v>
      </c>
      <c r="R53" s="130" t="s">
        <v>176</v>
      </c>
    </row>
    <row r="54" spans="1:18" x14ac:dyDescent="0.3">
      <c r="A54" s="43" t="s">
        <v>40</v>
      </c>
      <c r="B54" s="53">
        <v>2013</v>
      </c>
      <c r="C54" s="104">
        <f>+D54*E54</f>
        <v>3923.1066875000001</v>
      </c>
      <c r="D54" s="96">
        <f>0.455*91.25</f>
        <v>41.518750000000004</v>
      </c>
      <c r="E54" s="108">
        <v>94.49</v>
      </c>
      <c r="F54" s="106">
        <f>+G54*H54</f>
        <v>3830.1046875000002</v>
      </c>
      <c r="G54" s="107">
        <f>0.455*91.25</f>
        <v>41.518750000000004</v>
      </c>
      <c r="H54" s="109">
        <v>92.25</v>
      </c>
      <c r="I54" s="100">
        <f>+J54*K54</f>
        <v>3972.7184000000007</v>
      </c>
      <c r="J54" s="97">
        <f>0.448*91.25</f>
        <v>40.880000000000003</v>
      </c>
      <c r="K54" s="110">
        <v>97.18</v>
      </c>
      <c r="L54" s="101">
        <f t="shared" si="4"/>
        <v>3601.5102249999968</v>
      </c>
      <c r="M54" s="98">
        <f t="shared" si="4"/>
        <v>40.082499999999989</v>
      </c>
      <c r="N54" s="111">
        <f>+L54/M54</f>
        <v>89.85243497785811</v>
      </c>
      <c r="O54" s="102">
        <f>+P54*Q54</f>
        <v>15327.439999999999</v>
      </c>
      <c r="P54" s="99">
        <v>164</v>
      </c>
      <c r="Q54" s="113">
        <v>93.46</v>
      </c>
      <c r="R54" t="s">
        <v>178</v>
      </c>
    </row>
    <row r="55" spans="1:18" x14ac:dyDescent="0.3">
      <c r="A55" s="43" t="s">
        <v>40</v>
      </c>
      <c r="B55" s="53">
        <v>2014</v>
      </c>
      <c r="C55" s="104">
        <f>+D55*E55</f>
        <v>3656.6265749999998</v>
      </c>
      <c r="D55" s="96">
        <f>0.438*91.25</f>
        <v>39.967500000000001</v>
      </c>
      <c r="E55" s="108">
        <v>91.49</v>
      </c>
      <c r="F55" s="106">
        <f>+G55*H55</f>
        <v>3880.1689999999999</v>
      </c>
      <c r="G55" s="107">
        <f>0.46*91.25</f>
        <v>41.975000000000001</v>
      </c>
      <c r="H55" s="109">
        <v>92.44</v>
      </c>
      <c r="I55" s="100">
        <f>+J55*K55</f>
        <v>3701.3628000000003</v>
      </c>
      <c r="J55" s="97">
        <f>0.464*91.25</f>
        <v>42.34</v>
      </c>
      <c r="K55" s="110">
        <v>87.42</v>
      </c>
      <c r="L55" s="101">
        <f t="shared" si="4"/>
        <v>2727.4216249999995</v>
      </c>
      <c r="M55" s="98">
        <f t="shared" si="4"/>
        <v>41.717500000000001</v>
      </c>
      <c r="N55" s="111">
        <f>+L55/M55</f>
        <v>65.378357403967144</v>
      </c>
      <c r="O55" s="102">
        <f>+P55*Q55</f>
        <v>13965.58</v>
      </c>
      <c r="P55" s="99">
        <v>166</v>
      </c>
      <c r="Q55" s="113">
        <v>84.13</v>
      </c>
    </row>
    <row r="56" spans="1:18" x14ac:dyDescent="0.3">
      <c r="A56" s="41" t="s">
        <v>40</v>
      </c>
      <c r="B56" s="42">
        <v>2015</v>
      </c>
      <c r="C56" s="188">
        <f>+D56*E56</f>
        <v>1923.6220874999999</v>
      </c>
      <c r="D56" s="183">
        <f>0.489*91.25</f>
        <v>44.621249999999996</v>
      </c>
      <c r="E56" s="189">
        <v>43.11</v>
      </c>
      <c r="F56" s="190">
        <f>+G56*H56</f>
        <v>2344.9598375</v>
      </c>
      <c r="G56" s="184">
        <f>0.511*91.25</f>
        <v>46.628750000000004</v>
      </c>
      <c r="H56" s="191">
        <v>50.29</v>
      </c>
      <c r="I56" s="192">
        <f>+J56*K56</f>
        <v>1934.4908749999997</v>
      </c>
      <c r="J56" s="185">
        <f>0.505*91.25</f>
        <v>46.081249999999997</v>
      </c>
      <c r="K56" s="193">
        <v>41.98</v>
      </c>
      <c r="L56" s="194">
        <f t="shared" si="4"/>
        <v>1605.2627000000016</v>
      </c>
      <c r="M56" s="186">
        <f t="shared" si="4"/>
        <v>45.533750000000005</v>
      </c>
      <c r="N56" s="195">
        <f>+L56/M56</f>
        <v>35.254348697394818</v>
      </c>
      <c r="O56" s="196">
        <f>+P56*Q56</f>
        <v>7808.335500000001</v>
      </c>
      <c r="P56" s="187">
        <f>0.501*365</f>
        <v>182.86500000000001</v>
      </c>
      <c r="Q56" s="197">
        <v>42.7</v>
      </c>
    </row>
    <row r="57" spans="1:18" x14ac:dyDescent="0.3">
      <c r="A57" s="131" t="s">
        <v>42</v>
      </c>
      <c r="B57" s="82">
        <v>2007</v>
      </c>
      <c r="C57" s="104"/>
      <c r="D57" s="93"/>
      <c r="E57" s="108"/>
      <c r="F57" s="106"/>
      <c r="G57" s="105"/>
      <c r="H57" s="109"/>
      <c r="I57" s="100"/>
      <c r="J57" s="94"/>
      <c r="K57" s="110"/>
      <c r="L57" s="101"/>
      <c r="M57" s="98"/>
      <c r="N57" s="111"/>
      <c r="O57" s="102"/>
      <c r="P57" s="95"/>
      <c r="Q57" s="112"/>
    </row>
    <row r="58" spans="1:18" x14ac:dyDescent="0.3">
      <c r="A58" s="131" t="s">
        <v>42</v>
      </c>
      <c r="B58" s="16">
        <v>2008</v>
      </c>
      <c r="C58" s="104"/>
      <c r="D58" s="93"/>
      <c r="E58" s="108"/>
      <c r="F58" s="106"/>
      <c r="G58" s="105"/>
      <c r="H58" s="109"/>
      <c r="I58" s="100"/>
      <c r="J58" s="94"/>
      <c r="K58" s="110"/>
      <c r="L58" s="101"/>
      <c r="M58" s="98"/>
      <c r="N58" s="111"/>
      <c r="O58" s="102"/>
      <c r="P58" s="95"/>
      <c r="Q58" s="112"/>
    </row>
    <row r="59" spans="1:18" x14ac:dyDescent="0.3">
      <c r="A59" s="131" t="s">
        <v>42</v>
      </c>
      <c r="B59" s="53">
        <v>2009</v>
      </c>
      <c r="C59" s="104"/>
      <c r="D59" s="93"/>
      <c r="E59" s="108"/>
      <c r="F59" s="106"/>
      <c r="G59" s="105"/>
      <c r="H59" s="109"/>
      <c r="I59" s="100"/>
      <c r="J59" s="94"/>
      <c r="K59" s="110"/>
      <c r="L59" s="101"/>
      <c r="M59" s="98"/>
      <c r="N59" s="111"/>
      <c r="O59" s="102"/>
      <c r="P59" s="95"/>
      <c r="Q59" s="112"/>
    </row>
    <row r="60" spans="1:18" x14ac:dyDescent="0.3">
      <c r="A60" s="131" t="s">
        <v>42</v>
      </c>
      <c r="B60" s="16">
        <v>2010</v>
      </c>
      <c r="C60" s="104"/>
      <c r="D60" s="93"/>
      <c r="E60" s="108"/>
      <c r="F60" s="106"/>
      <c r="G60" s="105"/>
      <c r="H60" s="109"/>
      <c r="I60" s="100"/>
      <c r="J60" s="94"/>
      <c r="K60" s="110"/>
      <c r="L60" s="101"/>
      <c r="M60" s="98"/>
      <c r="N60" s="111"/>
      <c r="O60" s="102"/>
      <c r="P60" s="95"/>
      <c r="Q60" s="112"/>
    </row>
    <row r="61" spans="1:18" x14ac:dyDescent="0.3">
      <c r="A61" s="131" t="s">
        <v>42</v>
      </c>
      <c r="B61" s="53">
        <v>2011</v>
      </c>
      <c r="C61" s="104"/>
      <c r="D61" s="93"/>
      <c r="E61" s="108"/>
      <c r="F61" s="106"/>
      <c r="G61" s="105"/>
      <c r="H61" s="109"/>
      <c r="I61" s="100"/>
      <c r="J61" s="94"/>
      <c r="K61" s="110"/>
      <c r="L61" s="101"/>
      <c r="M61" s="98"/>
      <c r="N61" s="111"/>
      <c r="O61" s="102"/>
      <c r="P61" s="95"/>
      <c r="Q61" s="112"/>
    </row>
    <row r="62" spans="1:18" x14ac:dyDescent="0.3">
      <c r="A62" s="131" t="s">
        <v>42</v>
      </c>
      <c r="B62" s="16">
        <v>2012</v>
      </c>
      <c r="C62" s="104">
        <f>+D62*E62</f>
        <v>2935.96875</v>
      </c>
      <c r="D62" s="93">
        <f>(0.117+0.208)*91.25</f>
        <v>29.65625</v>
      </c>
      <c r="E62" s="108">
        <v>99</v>
      </c>
      <c r="F62" s="106">
        <f>+G62*H62</f>
        <v>2436.7199249999999</v>
      </c>
      <c r="G62" s="105">
        <f>(0.115+0.183)*91.25</f>
        <v>27.192499999999999</v>
      </c>
      <c r="H62" s="109">
        <v>89.61</v>
      </c>
      <c r="I62" s="100">
        <f>+J62*K62</f>
        <v>2309.2509750000004</v>
      </c>
      <c r="J62" s="94">
        <f>(0.124+0.157)*91.25</f>
        <v>25.641250000000003</v>
      </c>
      <c r="K62" s="110">
        <v>90.06</v>
      </c>
      <c r="L62" s="101">
        <f t="shared" ref="L62:M65" si="5">+O62-I62-F62-C62</f>
        <v>3358.5292499999996</v>
      </c>
      <c r="M62" s="98">
        <f t="shared" si="5"/>
        <v>31.025000000000006</v>
      </c>
      <c r="N62" s="111">
        <f>+L62/M62</f>
        <v>108.25235294117644</v>
      </c>
      <c r="O62" s="102">
        <f>+P62*Q62</f>
        <v>11040.4689</v>
      </c>
      <c r="P62" s="95">
        <f>(0.123+0.188)*365</f>
        <v>113.515</v>
      </c>
      <c r="Q62" s="112">
        <v>97.26</v>
      </c>
      <c r="R62" t="s">
        <v>194</v>
      </c>
    </row>
    <row r="63" spans="1:18" x14ac:dyDescent="0.3">
      <c r="A63" s="43" t="s">
        <v>42</v>
      </c>
      <c r="B63" s="53">
        <v>2013</v>
      </c>
      <c r="C63" s="104">
        <f>+D63*E63</f>
        <v>2889.6338249999999</v>
      </c>
      <c r="D63" s="96">
        <f>(0.148+0.19)*91.25</f>
        <v>30.842499999999998</v>
      </c>
      <c r="E63" s="108">
        <v>93.69</v>
      </c>
      <c r="F63" s="106">
        <f>+G63*H63</f>
        <v>2757.5640499999995</v>
      </c>
      <c r="G63" s="107">
        <f>(0.147+0.176)*91.25</f>
        <v>29.473749999999995</v>
      </c>
      <c r="H63" s="109">
        <v>93.56</v>
      </c>
      <c r="I63" s="100">
        <f>+J63*K63</f>
        <v>2872.413125</v>
      </c>
      <c r="J63" s="97">
        <f>(0.153+0.161)*91.25</f>
        <v>28.6525</v>
      </c>
      <c r="K63" s="110">
        <v>100.25</v>
      </c>
      <c r="L63" s="101">
        <f t="shared" si="5"/>
        <v>3006.2495000000008</v>
      </c>
      <c r="M63" s="98">
        <f t="shared" si="5"/>
        <v>31.481249999999992</v>
      </c>
      <c r="N63" s="111">
        <f>+L63/M63</f>
        <v>95.493333333333382</v>
      </c>
      <c r="O63" s="102">
        <f>+P63*Q63</f>
        <v>11525.860499999999</v>
      </c>
      <c r="P63" s="99">
        <f>(0.152+0.178)*365</f>
        <v>120.44999999999999</v>
      </c>
      <c r="Q63" s="113">
        <v>95.69</v>
      </c>
    </row>
    <row r="64" spans="1:18" x14ac:dyDescent="0.3">
      <c r="A64" s="43" t="s">
        <v>42</v>
      </c>
      <c r="B64" s="53">
        <v>2014</v>
      </c>
      <c r="C64" s="104">
        <f>+D64*E64</f>
        <v>2739.1936000000001</v>
      </c>
      <c r="D64" s="96">
        <f>(0.171+0.157)*91.25</f>
        <v>29.93</v>
      </c>
      <c r="E64" s="108">
        <v>91.52</v>
      </c>
      <c r="F64" s="106">
        <f>+G64*H64</f>
        <v>3087.5833625</v>
      </c>
      <c r="G64" s="107">
        <f>(0.191+0.17)*91.25</f>
        <v>32.941249999999997</v>
      </c>
      <c r="H64" s="109">
        <v>93.73</v>
      </c>
      <c r="I64" s="100">
        <f>+J64*K64</f>
        <v>2647.189875</v>
      </c>
      <c r="J64" s="97">
        <f>(0.191+0.139)*91.25</f>
        <v>30.112500000000001</v>
      </c>
      <c r="K64" s="110">
        <v>87.91</v>
      </c>
      <c r="L64" s="101">
        <f t="shared" si="5"/>
        <v>2465.2656624999986</v>
      </c>
      <c r="M64" s="98">
        <f t="shared" si="5"/>
        <v>34.766249999999992</v>
      </c>
      <c r="N64" s="111">
        <f>+L64/M64</f>
        <v>70.909737532808379</v>
      </c>
      <c r="O64" s="102">
        <f>+P64*Q64</f>
        <v>10939.232499999998</v>
      </c>
      <c r="P64" s="99">
        <f>(0.188+0.162)*365</f>
        <v>127.74999999999999</v>
      </c>
      <c r="Q64" s="113">
        <v>85.63</v>
      </c>
    </row>
    <row r="65" spans="1:18" x14ac:dyDescent="0.3">
      <c r="A65" s="41" t="s">
        <v>42</v>
      </c>
      <c r="B65" s="42">
        <v>2015</v>
      </c>
      <c r="C65" s="188">
        <f>+D65*E65</f>
        <v>1361.6160750000001</v>
      </c>
      <c r="D65" s="183">
        <f>+(0.198+0.168)*91.25</f>
        <v>33.397500000000001</v>
      </c>
      <c r="E65" s="189">
        <v>40.770000000000003</v>
      </c>
      <c r="F65" s="190">
        <f>+G65*H65</f>
        <v>1722.7662375</v>
      </c>
      <c r="G65" s="184">
        <f>+(0.209+0.154)*91.25</f>
        <v>33.123750000000001</v>
      </c>
      <c r="H65" s="191">
        <v>52.01</v>
      </c>
      <c r="I65" s="192">
        <f>+J65*K65</f>
        <v>1353.86895</v>
      </c>
      <c r="J65" s="185">
        <f>+(0.213+0.144)*91.25</f>
        <v>32.576250000000002</v>
      </c>
      <c r="K65" s="193">
        <v>41.56</v>
      </c>
      <c r="L65" s="194">
        <f t="shared" si="5"/>
        <v>1177.7409374999995</v>
      </c>
      <c r="M65" s="186">
        <f t="shared" si="5"/>
        <v>33.762499999999982</v>
      </c>
      <c r="N65" s="195">
        <f>+L65/M65</f>
        <v>34.883108108108111</v>
      </c>
      <c r="O65" s="196">
        <f>+P65*Q65</f>
        <v>5615.9921999999997</v>
      </c>
      <c r="P65" s="187">
        <f>+(0.206+0.158)*365</f>
        <v>132.85999999999999</v>
      </c>
      <c r="Q65" s="197">
        <v>42.27</v>
      </c>
    </row>
    <row r="66" spans="1:18" s="225" customFormat="1" x14ac:dyDescent="0.3">
      <c r="A66" s="43" t="s">
        <v>313</v>
      </c>
      <c r="B66" s="82">
        <v>2007</v>
      </c>
      <c r="C66" s="236"/>
      <c r="D66" s="237"/>
      <c r="E66" s="238"/>
      <c r="F66" s="239"/>
      <c r="G66" s="240"/>
      <c r="H66" s="241"/>
      <c r="I66" s="242"/>
      <c r="J66" s="243"/>
      <c r="K66" s="244"/>
      <c r="L66" s="245"/>
      <c r="M66" s="246"/>
      <c r="N66" s="247"/>
      <c r="O66" s="248"/>
      <c r="P66" s="249"/>
      <c r="Q66" s="250"/>
    </row>
    <row r="67" spans="1:18" s="225" customFormat="1" x14ac:dyDescent="0.3">
      <c r="A67" s="43" t="s">
        <v>313</v>
      </c>
      <c r="B67" s="16">
        <v>2008</v>
      </c>
      <c r="C67" s="236"/>
      <c r="D67" s="237"/>
      <c r="E67" s="238"/>
      <c r="F67" s="239"/>
      <c r="G67" s="240"/>
      <c r="H67" s="241"/>
      <c r="I67" s="242"/>
      <c r="J67" s="243"/>
      <c r="K67" s="244"/>
      <c r="L67" s="245"/>
      <c r="M67" s="246"/>
      <c r="N67" s="247"/>
      <c r="O67" s="248"/>
      <c r="P67" s="249"/>
      <c r="Q67" s="250"/>
    </row>
    <row r="68" spans="1:18" s="225" customFormat="1" x14ac:dyDescent="0.3">
      <c r="A68" s="43" t="s">
        <v>313</v>
      </c>
      <c r="B68" s="53">
        <v>2009</v>
      </c>
      <c r="C68" s="236"/>
      <c r="D68" s="237"/>
      <c r="E68" s="238"/>
      <c r="F68" s="239"/>
      <c r="G68" s="240"/>
      <c r="H68" s="241"/>
      <c r="I68" s="242"/>
      <c r="J68" s="243"/>
      <c r="K68" s="244"/>
      <c r="L68" s="245"/>
      <c r="M68" s="246"/>
      <c r="N68" s="247"/>
      <c r="O68" s="248"/>
      <c r="P68" s="249"/>
      <c r="Q68" s="250"/>
    </row>
    <row r="69" spans="1:18" s="225" customFormat="1" x14ac:dyDescent="0.3">
      <c r="A69" s="43" t="s">
        <v>313</v>
      </c>
      <c r="B69" s="16">
        <v>2010</v>
      </c>
      <c r="C69" s="236"/>
      <c r="D69" s="237"/>
      <c r="E69" s="238"/>
      <c r="F69" s="239"/>
      <c r="G69" s="240"/>
      <c r="H69" s="241"/>
      <c r="I69" s="242"/>
      <c r="J69" s="243"/>
      <c r="K69" s="244"/>
      <c r="L69" s="245"/>
      <c r="M69" s="246"/>
      <c r="N69" s="247"/>
      <c r="O69" s="248"/>
      <c r="P69" s="249"/>
      <c r="Q69" s="250"/>
    </row>
    <row r="70" spans="1:18" s="225" customFormat="1" x14ac:dyDescent="0.3">
      <c r="A70" s="43" t="s">
        <v>313</v>
      </c>
      <c r="B70" s="53">
        <v>2011</v>
      </c>
      <c r="C70" s="236"/>
      <c r="D70" s="237"/>
      <c r="E70" s="238"/>
      <c r="F70" s="239"/>
      <c r="G70" s="240"/>
      <c r="H70" s="241"/>
      <c r="I70" s="242"/>
      <c r="J70" s="243"/>
      <c r="K70" s="244"/>
      <c r="L70" s="245"/>
      <c r="M70" s="246"/>
      <c r="N70" s="247"/>
      <c r="O70" s="248"/>
      <c r="P70" s="249"/>
      <c r="Q70" s="250"/>
    </row>
    <row r="71" spans="1:18" s="225" customFormat="1" x14ac:dyDescent="0.3">
      <c r="A71" s="43" t="s">
        <v>313</v>
      </c>
      <c r="B71" s="16">
        <v>2012</v>
      </c>
      <c r="C71" s="236"/>
      <c r="D71" s="237"/>
      <c r="E71" s="238"/>
      <c r="F71" s="239"/>
      <c r="G71" s="240"/>
      <c r="H71" s="241"/>
      <c r="I71" s="242"/>
      <c r="J71" s="243"/>
      <c r="K71" s="244"/>
      <c r="L71" s="245"/>
      <c r="M71" s="246"/>
      <c r="N71" s="247"/>
      <c r="O71" s="248"/>
      <c r="P71" s="249"/>
      <c r="Q71" s="250"/>
    </row>
    <row r="72" spans="1:18" s="225" customFormat="1" x14ac:dyDescent="0.3">
      <c r="A72" s="43" t="s">
        <v>313</v>
      </c>
      <c r="B72" s="53">
        <v>2013</v>
      </c>
      <c r="C72" s="236"/>
      <c r="D72" s="237"/>
      <c r="E72" s="238"/>
      <c r="F72" s="239"/>
      <c r="G72" s="240"/>
      <c r="H72" s="241"/>
      <c r="I72" s="242"/>
      <c r="J72" s="243"/>
      <c r="K72" s="244"/>
      <c r="L72" s="245"/>
      <c r="M72" s="246"/>
      <c r="N72" s="247"/>
      <c r="O72" s="248"/>
      <c r="P72" s="249"/>
      <c r="Q72" s="250"/>
    </row>
    <row r="73" spans="1:18" s="225" customFormat="1" x14ac:dyDescent="0.3">
      <c r="A73" s="43" t="s">
        <v>313</v>
      </c>
      <c r="B73" s="53">
        <v>2014</v>
      </c>
      <c r="C73" s="236"/>
      <c r="D73" s="237"/>
      <c r="E73" s="238"/>
      <c r="F73" s="239"/>
      <c r="G73" s="240"/>
      <c r="H73" s="241"/>
      <c r="I73" s="242"/>
      <c r="J73" s="243"/>
      <c r="K73" s="244"/>
      <c r="L73" s="245"/>
      <c r="M73" s="246"/>
      <c r="N73" s="247"/>
      <c r="O73" s="248"/>
      <c r="P73" s="249"/>
      <c r="Q73" s="250"/>
    </row>
    <row r="74" spans="1:18" s="225" customFormat="1" x14ac:dyDescent="0.3">
      <c r="A74" s="43" t="s">
        <v>313</v>
      </c>
      <c r="B74" s="42">
        <v>2015</v>
      </c>
      <c r="C74" s="236"/>
      <c r="D74" s="237"/>
      <c r="E74" s="238"/>
      <c r="F74" s="239"/>
      <c r="G74" s="240"/>
      <c r="H74" s="241"/>
      <c r="I74" s="242"/>
      <c r="J74" s="243"/>
      <c r="K74" s="244"/>
      <c r="L74" s="245"/>
      <c r="M74" s="246"/>
      <c r="N74" s="247"/>
      <c r="O74" s="248"/>
      <c r="P74" s="249"/>
      <c r="Q74" s="250"/>
    </row>
    <row r="75" spans="1:18" x14ac:dyDescent="0.3">
      <c r="A75" s="131" t="s">
        <v>44</v>
      </c>
      <c r="B75" s="82">
        <v>2007</v>
      </c>
      <c r="C75" s="104"/>
      <c r="D75" s="93"/>
      <c r="E75" s="108"/>
      <c r="F75" s="106"/>
      <c r="G75" s="105"/>
      <c r="H75" s="109"/>
      <c r="I75" s="100"/>
      <c r="J75" s="94"/>
      <c r="K75" s="110"/>
      <c r="L75" s="101"/>
      <c r="M75" s="98"/>
      <c r="N75" s="111"/>
      <c r="O75" s="102"/>
      <c r="P75" s="95"/>
      <c r="Q75" s="112"/>
    </row>
    <row r="76" spans="1:18" x14ac:dyDescent="0.3">
      <c r="A76" s="131" t="s">
        <v>44</v>
      </c>
      <c r="B76" s="16">
        <v>2008</v>
      </c>
      <c r="C76" s="104"/>
      <c r="D76" s="93"/>
      <c r="E76" s="108"/>
      <c r="F76" s="106"/>
      <c r="G76" s="105"/>
      <c r="H76" s="109"/>
      <c r="I76" s="100"/>
      <c r="J76" s="94"/>
      <c r="K76" s="110"/>
      <c r="L76" s="101"/>
      <c r="M76" s="98"/>
      <c r="N76" s="111"/>
      <c r="O76" s="102"/>
      <c r="P76" s="95"/>
      <c r="Q76" s="112"/>
    </row>
    <row r="77" spans="1:18" x14ac:dyDescent="0.3">
      <c r="A77" s="131" t="s">
        <v>44</v>
      </c>
      <c r="B77" s="53">
        <v>2009</v>
      </c>
      <c r="C77" s="104"/>
      <c r="D77" s="93"/>
      <c r="E77" s="108"/>
      <c r="F77" s="106"/>
      <c r="G77" s="105"/>
      <c r="H77" s="109"/>
      <c r="I77" s="100"/>
      <c r="J77" s="94"/>
      <c r="K77" s="110"/>
      <c r="L77" s="101"/>
      <c r="M77" s="98"/>
      <c r="N77" s="111"/>
      <c r="O77" s="102"/>
      <c r="P77" s="95"/>
      <c r="Q77" s="112"/>
    </row>
    <row r="78" spans="1:18" x14ac:dyDescent="0.3">
      <c r="A78" s="131" t="s">
        <v>44</v>
      </c>
      <c r="B78" s="16">
        <v>2010</v>
      </c>
      <c r="C78" s="104"/>
      <c r="D78" s="93"/>
      <c r="E78" s="108"/>
      <c r="F78" s="106"/>
      <c r="G78" s="105"/>
      <c r="H78" s="109"/>
      <c r="I78" s="100"/>
      <c r="J78" s="94"/>
      <c r="K78" s="110"/>
      <c r="L78" s="101"/>
      <c r="M78" s="98"/>
      <c r="N78" s="111"/>
      <c r="O78" s="102"/>
      <c r="P78" s="95"/>
      <c r="Q78" s="112"/>
    </row>
    <row r="79" spans="1:18" x14ac:dyDescent="0.3">
      <c r="A79" s="131" t="s">
        <v>44</v>
      </c>
      <c r="B79" s="53">
        <v>2011</v>
      </c>
      <c r="C79" s="104"/>
      <c r="D79" s="93"/>
      <c r="E79" s="108"/>
      <c r="F79" s="106"/>
      <c r="G79" s="105"/>
      <c r="H79" s="109"/>
      <c r="I79" s="100"/>
      <c r="J79" s="94"/>
      <c r="K79" s="110"/>
      <c r="L79" s="101"/>
      <c r="M79" s="98"/>
      <c r="N79" s="111"/>
      <c r="O79" s="102"/>
      <c r="P79" s="95"/>
      <c r="Q79" s="112"/>
    </row>
    <row r="80" spans="1:18" x14ac:dyDescent="0.3">
      <c r="A80" s="131" t="s">
        <v>44</v>
      </c>
      <c r="B80" s="16">
        <v>2012</v>
      </c>
      <c r="C80" s="104">
        <f>+D80*E80</f>
        <v>440.33910249999997</v>
      </c>
      <c r="D80" s="93">
        <f>0.0547*91.25</f>
        <v>4.9913749999999997</v>
      </c>
      <c r="E80" s="108">
        <v>88.22</v>
      </c>
      <c r="F80" s="106">
        <f>+G80*H80</f>
        <v>436.35421499999995</v>
      </c>
      <c r="G80" s="105">
        <f>0.0561*91.25</f>
        <v>5.1191249999999995</v>
      </c>
      <c r="H80" s="109">
        <v>85.24</v>
      </c>
      <c r="I80" s="100">
        <f>+J80*K80</f>
        <v>470.01095624999999</v>
      </c>
      <c r="J80" s="94">
        <f>0.0589*91.25</f>
        <v>5.374625</v>
      </c>
      <c r="K80" s="110">
        <v>87.45</v>
      </c>
      <c r="L80" s="101">
        <f t="shared" ref="L80:M83" si="6">+O80-I80-F80-C80</f>
        <v>432.21082625000031</v>
      </c>
      <c r="M80" s="98">
        <f t="shared" si="6"/>
        <v>5.6848750000000035</v>
      </c>
      <c r="N80" s="111">
        <f>+L80/M80</f>
        <v>76.028202247191018</v>
      </c>
      <c r="O80" s="102">
        <f>+P80*Q80</f>
        <v>1778.9151000000002</v>
      </c>
      <c r="P80" s="95">
        <f>0.058*365</f>
        <v>21.17</v>
      </c>
      <c r="Q80" s="112">
        <v>84.03</v>
      </c>
      <c r="R80" s="82" t="s">
        <v>275</v>
      </c>
    </row>
    <row r="81" spans="1:18" x14ac:dyDescent="0.3">
      <c r="A81" s="43" t="s">
        <v>44</v>
      </c>
      <c r="B81" s="53">
        <v>2013</v>
      </c>
      <c r="C81" s="104">
        <f>+D81*E81</f>
        <v>454.10553375000001</v>
      </c>
      <c r="D81" s="96">
        <f>0.0627*91.25</f>
        <v>5.7213750000000001</v>
      </c>
      <c r="E81" s="108">
        <v>79.37</v>
      </c>
      <c r="F81" s="106">
        <f>+G81*H81</f>
        <v>569.09339999999997</v>
      </c>
      <c r="G81" s="107">
        <f>0.071*91.25</f>
        <v>6.4787499999999998</v>
      </c>
      <c r="H81" s="109">
        <v>87.84</v>
      </c>
      <c r="I81" s="100">
        <f>+J81*K81</f>
        <v>642.12898749999999</v>
      </c>
      <c r="J81" s="97">
        <f>0.077*91.25</f>
        <v>7.0262500000000001</v>
      </c>
      <c r="K81" s="110">
        <v>91.39</v>
      </c>
      <c r="L81" s="101">
        <f t="shared" si="6"/>
        <v>820.67247874999998</v>
      </c>
      <c r="M81" s="98">
        <f t="shared" si="6"/>
        <v>9.243624999999998</v>
      </c>
      <c r="N81" s="111">
        <f>+L81/M81</f>
        <v>88.782537018756187</v>
      </c>
      <c r="O81" s="102">
        <f>+P81*Q81</f>
        <v>2486.0003999999999</v>
      </c>
      <c r="P81" s="99">
        <f>0.078*365</f>
        <v>28.47</v>
      </c>
      <c r="Q81" s="113">
        <v>87.32</v>
      </c>
    </row>
    <row r="82" spans="1:18" x14ac:dyDescent="0.3">
      <c r="A82" s="43" t="s">
        <v>44</v>
      </c>
      <c r="B82" s="53">
        <v>2014</v>
      </c>
      <c r="C82" s="104">
        <f>+D82*E82</f>
        <v>741.64350000000002</v>
      </c>
      <c r="D82" s="96">
        <f>0.0975*91.25</f>
        <v>8.8968749999999996</v>
      </c>
      <c r="E82" s="108">
        <v>83.36</v>
      </c>
      <c r="F82" s="106">
        <f>+G82*H82</f>
        <v>1016.7439999999999</v>
      </c>
      <c r="G82" s="107">
        <f>0.128*91.25</f>
        <v>11.68</v>
      </c>
      <c r="H82" s="109">
        <v>87.05</v>
      </c>
      <c r="I82" s="100">
        <f>+J82*K82</f>
        <v>1064.5298</v>
      </c>
      <c r="J82" s="97">
        <f>0.136*91.25</f>
        <v>12.41</v>
      </c>
      <c r="K82" s="110">
        <v>85.78</v>
      </c>
      <c r="L82" s="101">
        <f t="shared" si="6"/>
        <v>1164.3062000000009</v>
      </c>
      <c r="M82" s="98">
        <f t="shared" si="6"/>
        <v>14.463125000000007</v>
      </c>
      <c r="N82" s="111">
        <f>+L82/M82</f>
        <v>80.501703470031572</v>
      </c>
      <c r="O82" s="102">
        <f>+P82*Q82</f>
        <v>3987.2235000000005</v>
      </c>
      <c r="P82" s="99">
        <f>0.13*365</f>
        <v>47.45</v>
      </c>
      <c r="Q82" s="113">
        <v>84.03</v>
      </c>
    </row>
    <row r="83" spans="1:18" x14ac:dyDescent="0.3">
      <c r="A83" s="41" t="s">
        <v>44</v>
      </c>
      <c r="B83" s="42">
        <v>2015</v>
      </c>
      <c r="C83" s="188">
        <f>+D83*E83</f>
        <v>1077.5457000000001</v>
      </c>
      <c r="D83" s="183">
        <f>0.168*91.25</f>
        <v>15.33</v>
      </c>
      <c r="E83" s="189">
        <v>70.290000000000006</v>
      </c>
      <c r="F83" s="190">
        <f>+G83*H83</f>
        <v>1150.28655</v>
      </c>
      <c r="G83" s="184">
        <f>0.172*91.25</f>
        <v>15.694999999999999</v>
      </c>
      <c r="H83" s="191">
        <v>73.290000000000006</v>
      </c>
      <c r="I83" s="192">
        <f>+J83*K83</f>
        <v>1058.3576500000001</v>
      </c>
      <c r="J83" s="185">
        <f>0.161*91.25</f>
        <v>14.69125</v>
      </c>
      <c r="K83" s="193">
        <v>72.040000000000006</v>
      </c>
      <c r="L83" s="194">
        <f t="shared" si="6"/>
        <v>1033.8101000000001</v>
      </c>
      <c r="M83" s="186">
        <f t="shared" si="6"/>
        <v>14.283750000000003</v>
      </c>
      <c r="N83" s="195">
        <f>+L83/M83</f>
        <v>72.376658790583704</v>
      </c>
      <c r="O83" s="196">
        <f>+P83*Q83</f>
        <v>4320</v>
      </c>
      <c r="P83" s="187">
        <v>60</v>
      </c>
      <c r="Q83" s="197">
        <v>72</v>
      </c>
      <c r="R83" t="s">
        <v>274</v>
      </c>
    </row>
    <row r="84" spans="1:18" x14ac:dyDescent="0.3">
      <c r="A84" s="131" t="s">
        <v>48</v>
      </c>
      <c r="B84" s="82">
        <v>2007</v>
      </c>
      <c r="C84" s="104"/>
      <c r="D84" s="93"/>
      <c r="E84" s="108"/>
      <c r="F84" s="106"/>
      <c r="G84" s="105"/>
      <c r="H84" s="109"/>
      <c r="I84" s="100"/>
      <c r="J84" s="94"/>
      <c r="K84" s="110"/>
      <c r="L84" s="101"/>
      <c r="M84" s="98"/>
      <c r="N84" s="111"/>
      <c r="O84" s="102"/>
      <c r="P84" s="95"/>
      <c r="Q84" s="112"/>
    </row>
    <row r="85" spans="1:18" x14ac:dyDescent="0.3">
      <c r="A85" s="131" t="s">
        <v>48</v>
      </c>
      <c r="B85" s="16">
        <v>2008</v>
      </c>
      <c r="C85" s="104"/>
      <c r="D85" s="93"/>
      <c r="E85" s="108"/>
      <c r="F85" s="106"/>
      <c r="G85" s="105"/>
      <c r="H85" s="109"/>
      <c r="I85" s="100"/>
      <c r="J85" s="94"/>
      <c r="K85" s="110"/>
      <c r="L85" s="101"/>
      <c r="M85" s="98"/>
      <c r="N85" s="111"/>
      <c r="O85" s="102"/>
      <c r="P85" s="95"/>
      <c r="Q85" s="112"/>
    </row>
    <row r="86" spans="1:18" x14ac:dyDescent="0.3">
      <c r="A86" s="131" t="s">
        <v>48</v>
      </c>
      <c r="B86" s="53">
        <v>2009</v>
      </c>
      <c r="C86" s="104"/>
      <c r="D86" s="93"/>
      <c r="E86" s="108"/>
      <c r="F86" s="106"/>
      <c r="G86" s="105"/>
      <c r="H86" s="109"/>
      <c r="I86" s="100"/>
      <c r="J86" s="94"/>
      <c r="K86" s="110"/>
      <c r="L86" s="101"/>
      <c r="M86" s="98"/>
      <c r="N86" s="111"/>
      <c r="O86" s="102"/>
      <c r="P86" s="95"/>
      <c r="Q86" s="112"/>
    </row>
    <row r="87" spans="1:18" x14ac:dyDescent="0.3">
      <c r="A87" s="131" t="s">
        <v>48</v>
      </c>
      <c r="B87" s="16">
        <v>2010</v>
      </c>
      <c r="C87" s="104"/>
      <c r="D87" s="93"/>
      <c r="E87" s="108"/>
      <c r="F87" s="106"/>
      <c r="G87" s="105"/>
      <c r="H87" s="109"/>
      <c r="I87" s="100"/>
      <c r="J87" s="94"/>
      <c r="K87" s="110"/>
      <c r="L87" s="101"/>
      <c r="M87" s="98"/>
      <c r="N87" s="111"/>
      <c r="O87" s="102"/>
      <c r="P87" s="95"/>
      <c r="Q87" s="112"/>
    </row>
    <row r="88" spans="1:18" x14ac:dyDescent="0.3">
      <c r="A88" s="131" t="s">
        <v>48</v>
      </c>
      <c r="B88" s="53">
        <v>2011</v>
      </c>
      <c r="C88" s="104"/>
      <c r="D88" s="93"/>
      <c r="E88" s="108"/>
      <c r="F88" s="106"/>
      <c r="G88" s="105"/>
      <c r="H88" s="109"/>
      <c r="I88" s="100"/>
      <c r="J88" s="94"/>
      <c r="K88" s="110"/>
      <c r="L88" s="101"/>
      <c r="M88" s="98"/>
      <c r="N88" s="111"/>
      <c r="O88" s="102"/>
      <c r="P88" s="95"/>
      <c r="Q88" s="112"/>
    </row>
    <row r="89" spans="1:18" x14ac:dyDescent="0.3">
      <c r="A89" s="131" t="s">
        <v>48</v>
      </c>
      <c r="B89" s="16">
        <v>2012</v>
      </c>
      <c r="C89" s="104">
        <f>+D89*E89</f>
        <v>77.256312797619032</v>
      </c>
      <c r="D89" s="93">
        <v>0.83385119047619027</v>
      </c>
      <c r="E89" s="108">
        <v>92.65</v>
      </c>
      <c r="F89" s="106">
        <f>+G89*H89</f>
        <v>51.743531075581387</v>
      </c>
      <c r="G89" s="105">
        <v>0.61148110465116268</v>
      </c>
      <c r="H89" s="109">
        <v>84.62</v>
      </c>
      <c r="I89" s="100">
        <f>+J89*K89</f>
        <v>81.279190714285733</v>
      </c>
      <c r="J89" s="94">
        <v>1.015482142857143</v>
      </c>
      <c r="K89" s="110">
        <v>80.040000000000006</v>
      </c>
      <c r="L89" s="101">
        <f t="shared" ref="L89:M91" si="7">+O89-I89-F89-C89</f>
        <v>109.14896541251385</v>
      </c>
      <c r="M89" s="98">
        <f t="shared" si="7"/>
        <v>1.3391855620155038</v>
      </c>
      <c r="N89" s="111">
        <f>+L89/M89</f>
        <v>81.503989072464492</v>
      </c>
      <c r="O89" s="102">
        <f>+P89*Q89</f>
        <v>319.428</v>
      </c>
      <c r="P89" s="95">
        <v>3.8</v>
      </c>
      <c r="Q89" s="112">
        <v>84.06</v>
      </c>
    </row>
    <row r="90" spans="1:18" x14ac:dyDescent="0.3">
      <c r="A90" s="43" t="s">
        <v>48</v>
      </c>
      <c r="B90" s="53">
        <v>2013</v>
      </c>
      <c r="C90" s="104">
        <f>+D90*E90</f>
        <v>94.662956904069759</v>
      </c>
      <c r="D90" s="96">
        <v>1.0552107558139534</v>
      </c>
      <c r="E90" s="108">
        <v>89.71</v>
      </c>
      <c r="F90" s="106">
        <f>+G90*H90</f>
        <v>103.1742868604651</v>
      </c>
      <c r="G90" s="107">
        <v>1.1688488372093022</v>
      </c>
      <c r="H90" s="109">
        <v>88.27</v>
      </c>
      <c r="I90" s="100">
        <f>+J90*K90</f>
        <v>124.28045005813952</v>
      </c>
      <c r="J90" s="97">
        <v>1.3744796511627906</v>
      </c>
      <c r="K90" s="110">
        <v>90.42</v>
      </c>
      <c r="L90" s="101">
        <f t="shared" si="7"/>
        <v>127.65130617732557</v>
      </c>
      <c r="M90" s="98">
        <f t="shared" si="7"/>
        <v>1.5014607558139534</v>
      </c>
      <c r="N90" s="111">
        <f>+L90/M90</f>
        <v>85.018077018020236</v>
      </c>
      <c r="O90" s="102">
        <f>+P90*Q90</f>
        <v>449.76899999999995</v>
      </c>
      <c r="P90" s="99">
        <v>5.0999999999999996</v>
      </c>
      <c r="Q90" s="113">
        <v>88.19</v>
      </c>
      <c r="R90" t="s">
        <v>204</v>
      </c>
    </row>
    <row r="91" spans="1:18" x14ac:dyDescent="0.3">
      <c r="A91" s="43" t="s">
        <v>48</v>
      </c>
      <c r="B91" s="53">
        <v>2014</v>
      </c>
      <c r="C91" s="104">
        <f>+D91*E91</f>
        <v>123.69284249999998</v>
      </c>
      <c r="D91" s="96">
        <v>1.4326249999999998</v>
      </c>
      <c r="E91" s="108">
        <v>86.34</v>
      </c>
      <c r="F91" s="106">
        <f>+G91*H91</f>
        <v>165.88018124999999</v>
      </c>
      <c r="G91" s="107">
        <v>1.8523749999999999</v>
      </c>
      <c r="H91" s="109">
        <v>89.55</v>
      </c>
      <c r="I91" s="100">
        <f>+J91*K91</f>
        <v>390.22405499999996</v>
      </c>
      <c r="J91" s="97">
        <v>4.3252499999999996</v>
      </c>
      <c r="K91" s="110">
        <v>90.22</v>
      </c>
      <c r="L91" s="101">
        <f t="shared" si="7"/>
        <v>447.19592125000008</v>
      </c>
      <c r="M91" s="98">
        <f t="shared" si="7"/>
        <v>5.4897500000000008</v>
      </c>
      <c r="N91" s="111">
        <f>+L91/M91</f>
        <v>81.460161437223917</v>
      </c>
      <c r="O91" s="102">
        <f>+P91*Q91</f>
        <v>1126.9929999999999</v>
      </c>
      <c r="P91" s="99">
        <v>13.1</v>
      </c>
      <c r="Q91" s="113">
        <v>86.03</v>
      </c>
    </row>
    <row r="92" spans="1:18" x14ac:dyDescent="0.3">
      <c r="A92" s="41" t="s">
        <v>48</v>
      </c>
      <c r="B92" s="42">
        <v>2015</v>
      </c>
      <c r="C92" s="188">
        <f>+D92*E92</f>
        <v>305.86470750000001</v>
      </c>
      <c r="D92" s="183">
        <f>0.0726*91.25</f>
        <v>6.6247499999999997</v>
      </c>
      <c r="E92" s="189">
        <v>46.17</v>
      </c>
      <c r="F92" s="190">
        <f>+G92*H92</f>
        <v>386.03093499999994</v>
      </c>
      <c r="G92" s="184">
        <f>0.0797*91.25</f>
        <v>7.2726249999999997</v>
      </c>
      <c r="H92" s="191">
        <v>53.08</v>
      </c>
      <c r="I92" s="192">
        <f>+J92*K92</f>
        <v>390.21310499999998</v>
      </c>
      <c r="J92" s="185">
        <f>0.0866*91.25</f>
        <v>7.9022499999999996</v>
      </c>
      <c r="K92" s="193">
        <v>49.38</v>
      </c>
      <c r="L92" s="194">
        <f>+O92-I92-F92-C92</f>
        <v>393.38725249999982</v>
      </c>
      <c r="M92" s="186">
        <f>0.0866*91.25</f>
        <v>7.9022499999999996</v>
      </c>
      <c r="N92" s="195">
        <v>49.77</v>
      </c>
      <c r="O92" s="196">
        <f>+P92*Q92</f>
        <v>1475.4959999999999</v>
      </c>
      <c r="P92" s="187">
        <v>29.7</v>
      </c>
      <c r="Q92" s="197">
        <v>49.68</v>
      </c>
    </row>
    <row r="93" spans="1:18" x14ac:dyDescent="0.3">
      <c r="A93" s="131" t="s">
        <v>51</v>
      </c>
      <c r="B93" s="82">
        <v>2007</v>
      </c>
      <c r="C93" s="104"/>
      <c r="D93" s="93"/>
      <c r="E93" s="108"/>
      <c r="F93" s="106"/>
      <c r="G93" s="105"/>
      <c r="H93" s="109"/>
      <c r="I93" s="100"/>
      <c r="J93" s="94"/>
      <c r="K93" s="110"/>
      <c r="L93" s="101"/>
      <c r="M93" s="98"/>
      <c r="N93" s="111"/>
      <c r="O93" s="102"/>
      <c r="P93" s="95"/>
      <c r="Q93" s="112"/>
    </row>
    <row r="94" spans="1:18" x14ac:dyDescent="0.3">
      <c r="A94" s="131" t="s">
        <v>51</v>
      </c>
      <c r="B94" s="16">
        <v>2008</v>
      </c>
      <c r="C94" s="104"/>
      <c r="D94" s="93"/>
      <c r="E94" s="108"/>
      <c r="F94" s="106"/>
      <c r="G94" s="105"/>
      <c r="H94" s="109"/>
      <c r="I94" s="100"/>
      <c r="J94" s="94"/>
      <c r="K94" s="110"/>
      <c r="L94" s="101"/>
      <c r="M94" s="98"/>
      <c r="N94" s="111"/>
      <c r="O94" s="102"/>
      <c r="P94" s="95"/>
      <c r="Q94" s="112"/>
    </row>
    <row r="95" spans="1:18" x14ac:dyDescent="0.3">
      <c r="A95" s="131" t="s">
        <v>51</v>
      </c>
      <c r="B95" s="53">
        <v>2009</v>
      </c>
      <c r="C95" s="104"/>
      <c r="D95" s="93"/>
      <c r="E95" s="108"/>
      <c r="F95" s="106"/>
      <c r="G95" s="105"/>
      <c r="H95" s="109"/>
      <c r="I95" s="100"/>
      <c r="J95" s="94"/>
      <c r="K95" s="110"/>
      <c r="L95" s="101"/>
      <c r="M95" s="98"/>
      <c r="N95" s="111"/>
      <c r="O95" s="102"/>
      <c r="P95" s="95"/>
      <c r="Q95" s="112"/>
    </row>
    <row r="96" spans="1:18" x14ac:dyDescent="0.3">
      <c r="A96" s="131" t="s">
        <v>51</v>
      </c>
      <c r="B96" s="16">
        <v>2010</v>
      </c>
      <c r="C96" s="104"/>
      <c r="D96" s="93"/>
      <c r="E96" s="108"/>
      <c r="F96" s="106"/>
      <c r="G96" s="105"/>
      <c r="H96" s="109"/>
      <c r="I96" s="100"/>
      <c r="J96" s="94"/>
      <c r="K96" s="110"/>
      <c r="L96" s="101"/>
      <c r="M96" s="98"/>
      <c r="N96" s="111"/>
      <c r="O96" s="102"/>
      <c r="P96" s="95"/>
      <c r="Q96" s="112"/>
    </row>
    <row r="97" spans="1:18" x14ac:dyDescent="0.3">
      <c r="A97" s="131" t="s">
        <v>51</v>
      </c>
      <c r="B97" s="53">
        <v>2011</v>
      </c>
      <c r="C97" s="104"/>
      <c r="D97" s="93"/>
      <c r="E97" s="108"/>
      <c r="F97" s="106"/>
      <c r="G97" s="105"/>
      <c r="H97" s="109"/>
      <c r="I97" s="100"/>
      <c r="J97" s="94"/>
      <c r="K97" s="110"/>
      <c r="L97" s="101"/>
      <c r="M97" s="98"/>
      <c r="N97" s="111"/>
      <c r="O97" s="102"/>
      <c r="P97" s="95"/>
      <c r="Q97" s="112"/>
    </row>
    <row r="98" spans="1:18" x14ac:dyDescent="0.3">
      <c r="A98" s="131" t="s">
        <v>51</v>
      </c>
      <c r="B98" s="16">
        <v>2012</v>
      </c>
      <c r="C98" s="104">
        <f>+D98*E98</f>
        <v>1217.0112875000002</v>
      </c>
      <c r="D98" s="93">
        <f>0.131*91.25</f>
        <v>11.953750000000001</v>
      </c>
      <c r="E98" s="108">
        <v>101.81</v>
      </c>
      <c r="F98" s="106">
        <f>+G98*H98</f>
        <v>1315.6333749999999</v>
      </c>
      <c r="G98" s="105">
        <f>0.1505*91.25</f>
        <v>13.733124999999999</v>
      </c>
      <c r="H98" s="109">
        <v>95.8</v>
      </c>
      <c r="I98" s="100">
        <f>+J98*K98</f>
        <v>1437.1265449999999</v>
      </c>
      <c r="J98" s="94">
        <f>0.1613*91.25</f>
        <v>14.718624999999999</v>
      </c>
      <c r="K98" s="110">
        <v>97.64</v>
      </c>
      <c r="L98" s="101">
        <f t="shared" ref="L98:M101" si="8">+O98-I98-F98-C98</f>
        <v>1391.3977024999992</v>
      </c>
      <c r="M98" s="98">
        <f t="shared" si="8"/>
        <v>14.088999999999997</v>
      </c>
      <c r="N98" s="111">
        <f>+L98/M98</f>
        <v>98.757733160621726</v>
      </c>
      <c r="O98" s="102">
        <f>+P98*Q98</f>
        <v>5361.1689099999994</v>
      </c>
      <c r="P98" s="95">
        <f>0.1493*365</f>
        <v>54.494499999999995</v>
      </c>
      <c r="Q98" s="112">
        <v>98.38</v>
      </c>
    </row>
    <row r="99" spans="1:18" x14ac:dyDescent="0.3">
      <c r="A99" s="43" t="s">
        <v>51</v>
      </c>
      <c r="B99" s="53">
        <v>2013</v>
      </c>
      <c r="C99" s="104">
        <f>+D99*E99</f>
        <v>1733.8805787499998</v>
      </c>
      <c r="D99" s="96">
        <f>0.1783*91.25</f>
        <v>16.269874999999999</v>
      </c>
      <c r="E99" s="108">
        <v>106.57</v>
      </c>
      <c r="F99" s="106">
        <f>+G99*H99</f>
        <v>1954.5973562500001</v>
      </c>
      <c r="G99" s="107">
        <f>0.2065*91.25</f>
        <v>18.843125000000001</v>
      </c>
      <c r="H99" s="109">
        <v>103.73</v>
      </c>
      <c r="I99" s="100">
        <f>+J99*K99</f>
        <v>2254.6283600000002</v>
      </c>
      <c r="J99" s="97">
        <f>0.2276*91.25</f>
        <v>20.7685</v>
      </c>
      <c r="K99" s="110">
        <v>108.56</v>
      </c>
      <c r="L99" s="101">
        <f t="shared" si="8"/>
        <v>2093.5005699999992</v>
      </c>
      <c r="M99" s="98">
        <f t="shared" si="8"/>
        <v>21.534999999999997</v>
      </c>
      <c r="N99" s="111">
        <f>+L99/M99</f>
        <v>97.213864406779635</v>
      </c>
      <c r="O99" s="102">
        <f>+P99*Q99</f>
        <v>8036.6068649999997</v>
      </c>
      <c r="P99" s="99">
        <f>0.2121*365</f>
        <v>77.416499999999999</v>
      </c>
      <c r="Q99" s="113">
        <v>103.81</v>
      </c>
      <c r="R99" s="114" t="s">
        <v>167</v>
      </c>
    </row>
    <row r="100" spans="1:18" x14ac:dyDescent="0.3">
      <c r="A100" s="43" t="s">
        <v>51</v>
      </c>
      <c r="B100" s="53">
        <v>2014</v>
      </c>
      <c r="C100" s="104">
        <f>+D100*E100</f>
        <v>2368.8224425000003</v>
      </c>
      <c r="D100" s="96">
        <f>0.2581*91.25</f>
        <v>23.551625000000001</v>
      </c>
      <c r="E100" s="108">
        <v>100.58</v>
      </c>
      <c r="F100" s="106">
        <f>+G100*H100</f>
        <v>2572.377285</v>
      </c>
      <c r="G100" s="107">
        <f>0.2746*91.25</f>
        <v>25.05725</v>
      </c>
      <c r="H100" s="109">
        <v>102.66</v>
      </c>
      <c r="I100" s="100">
        <f>+J100*K100</f>
        <v>2604.0154849999999</v>
      </c>
      <c r="J100" s="97">
        <f>0.2932*91.25</f>
        <v>26.7545</v>
      </c>
      <c r="K100" s="110">
        <v>97.33</v>
      </c>
      <c r="L100" s="101">
        <f t="shared" si="8"/>
        <v>1999.4836874999987</v>
      </c>
      <c r="M100" s="98">
        <f t="shared" si="8"/>
        <v>27.566625000000002</v>
      </c>
      <c r="N100" s="111">
        <f>+L100/M100</f>
        <v>72.532770605759637</v>
      </c>
      <c r="O100" s="102">
        <f>+P100*Q100</f>
        <v>9544.6988999999994</v>
      </c>
      <c r="P100" s="99">
        <f>0.282*365</f>
        <v>102.92999999999999</v>
      </c>
      <c r="Q100" s="113">
        <v>92.73</v>
      </c>
    </row>
    <row r="101" spans="1:18" x14ac:dyDescent="0.3">
      <c r="A101" s="41" t="s">
        <v>51</v>
      </c>
      <c r="B101" s="42">
        <v>2015</v>
      </c>
      <c r="C101" s="188">
        <f>+D101*E101</f>
        <v>1272.7190475</v>
      </c>
      <c r="D101" s="183">
        <f>0.2986*91.25</f>
        <v>27.247249999999998</v>
      </c>
      <c r="E101" s="189">
        <v>46.71</v>
      </c>
      <c r="F101" s="190">
        <f>+G101*H101</f>
        <v>1450.0040187500001</v>
      </c>
      <c r="G101" s="184">
        <f>0.2765*91.25</f>
        <v>25.230625000000003</v>
      </c>
      <c r="H101" s="191">
        <v>57.47</v>
      </c>
      <c r="I101" s="192">
        <f>+J101*K101</f>
        <v>1166.3866087500001</v>
      </c>
      <c r="J101" s="185">
        <f>0.2783*91.25</f>
        <v>25.394874999999999</v>
      </c>
      <c r="K101" s="193">
        <v>45.93</v>
      </c>
      <c r="L101" s="194">
        <f t="shared" si="8"/>
        <v>1027.7742999999998</v>
      </c>
      <c r="M101" s="186">
        <f t="shared" si="8"/>
        <v>25.531749999999999</v>
      </c>
      <c r="N101" s="195">
        <f>+L101/M101</f>
        <v>40.254753395282336</v>
      </c>
      <c r="O101" s="196">
        <f>+P101*Q101</f>
        <v>4916.8839749999997</v>
      </c>
      <c r="P101" s="187">
        <f>0.2833*365</f>
        <v>103.4045</v>
      </c>
      <c r="Q101" s="197">
        <v>47.55</v>
      </c>
    </row>
    <row r="102" spans="1:18" x14ac:dyDescent="0.3">
      <c r="A102" s="131" t="s">
        <v>54</v>
      </c>
      <c r="B102" s="82">
        <v>2007</v>
      </c>
      <c r="C102" s="104"/>
      <c r="D102" s="93"/>
      <c r="E102" s="108"/>
      <c r="F102" s="106"/>
      <c r="G102" s="105"/>
      <c r="H102" s="109"/>
      <c r="I102" s="100"/>
      <c r="J102" s="94"/>
      <c r="K102" s="110"/>
      <c r="L102" s="101"/>
      <c r="M102" s="98"/>
      <c r="N102" s="111"/>
      <c r="O102" s="102"/>
      <c r="P102" s="95"/>
      <c r="Q102" s="112"/>
    </row>
    <row r="103" spans="1:18" x14ac:dyDescent="0.3">
      <c r="A103" s="131" t="s">
        <v>54</v>
      </c>
      <c r="B103" s="16">
        <v>2008</v>
      </c>
      <c r="C103" s="104"/>
      <c r="D103" s="93"/>
      <c r="E103" s="108"/>
      <c r="F103" s="106"/>
      <c r="G103" s="105"/>
      <c r="H103" s="109"/>
      <c r="I103" s="100"/>
      <c r="J103" s="94"/>
      <c r="K103" s="110"/>
      <c r="L103" s="101"/>
      <c r="M103" s="98"/>
      <c r="N103" s="111"/>
      <c r="O103" s="102"/>
      <c r="P103" s="95"/>
      <c r="Q103" s="112"/>
    </row>
    <row r="104" spans="1:18" x14ac:dyDescent="0.3">
      <c r="A104" s="131" t="s">
        <v>54</v>
      </c>
      <c r="B104" s="53">
        <v>2009</v>
      </c>
      <c r="C104" s="104"/>
      <c r="D104" s="93"/>
      <c r="E104" s="108"/>
      <c r="F104" s="106"/>
      <c r="G104" s="105"/>
      <c r="H104" s="109"/>
      <c r="I104" s="100"/>
      <c r="J104" s="94"/>
      <c r="K104" s="110"/>
      <c r="L104" s="101"/>
      <c r="M104" s="98"/>
      <c r="N104" s="111"/>
      <c r="O104" s="102"/>
      <c r="P104" s="95"/>
      <c r="Q104" s="112"/>
    </row>
    <row r="105" spans="1:18" x14ac:dyDescent="0.3">
      <c r="A105" s="131" t="s">
        <v>54</v>
      </c>
      <c r="B105" s="16">
        <v>2010</v>
      </c>
      <c r="C105" s="104"/>
      <c r="D105" s="93"/>
      <c r="E105" s="108"/>
      <c r="F105" s="106"/>
      <c r="G105" s="105"/>
      <c r="H105" s="109"/>
      <c r="I105" s="100"/>
      <c r="J105" s="94"/>
      <c r="K105" s="110"/>
      <c r="L105" s="101"/>
      <c r="M105" s="98"/>
      <c r="N105" s="111"/>
      <c r="O105" s="102"/>
      <c r="P105" s="95"/>
      <c r="Q105" s="112"/>
    </row>
    <row r="106" spans="1:18" x14ac:dyDescent="0.3">
      <c r="A106" s="131" t="s">
        <v>54</v>
      </c>
      <c r="B106" s="53">
        <v>2011</v>
      </c>
      <c r="C106" s="104"/>
      <c r="D106" s="93"/>
      <c r="E106" s="108"/>
      <c r="F106" s="106"/>
      <c r="G106" s="105"/>
      <c r="H106" s="109"/>
      <c r="I106" s="100"/>
      <c r="J106" s="94"/>
      <c r="K106" s="110"/>
      <c r="L106" s="101"/>
      <c r="M106" s="98"/>
      <c r="N106" s="111"/>
      <c r="O106" s="102"/>
      <c r="P106" s="95"/>
      <c r="Q106" s="112"/>
      <c r="R106" s="135"/>
    </row>
    <row r="107" spans="1:18" x14ac:dyDescent="0.3">
      <c r="A107" s="131" t="s">
        <v>54</v>
      </c>
      <c r="B107" s="16">
        <v>2012</v>
      </c>
      <c r="C107" s="104"/>
      <c r="D107" s="93"/>
      <c r="E107" s="108"/>
      <c r="F107" s="106"/>
      <c r="G107" s="105"/>
      <c r="H107" s="109"/>
      <c r="I107" s="100"/>
      <c r="J107" s="94"/>
      <c r="K107" s="110"/>
      <c r="L107" s="101"/>
      <c r="M107" s="98"/>
      <c r="N107" s="111"/>
      <c r="O107" s="102"/>
      <c r="P107" s="95"/>
      <c r="Q107" s="112"/>
      <c r="R107" s="135"/>
    </row>
    <row r="108" spans="1:18" x14ac:dyDescent="0.3">
      <c r="A108" s="43" t="s">
        <v>54</v>
      </c>
      <c r="B108" s="53">
        <v>2013</v>
      </c>
      <c r="C108" s="104"/>
      <c r="D108" s="96"/>
      <c r="E108" s="108"/>
      <c r="F108" s="106"/>
      <c r="G108" s="107"/>
      <c r="H108" s="109"/>
      <c r="I108" s="100"/>
      <c r="J108" s="97"/>
      <c r="K108" s="110"/>
      <c r="L108" s="101"/>
      <c r="M108" s="98"/>
      <c r="N108" s="111"/>
      <c r="O108" s="102"/>
      <c r="P108" s="99"/>
      <c r="Q108" s="113"/>
      <c r="R108" s="135" t="s">
        <v>202</v>
      </c>
    </row>
    <row r="109" spans="1:18" x14ac:dyDescent="0.3">
      <c r="A109" s="43" t="s">
        <v>54</v>
      </c>
      <c r="B109" s="53">
        <v>2014</v>
      </c>
      <c r="C109" s="104"/>
      <c r="D109" s="96"/>
      <c r="E109" s="108"/>
      <c r="F109" s="106"/>
      <c r="G109" s="107"/>
      <c r="H109" s="109"/>
      <c r="I109" s="100"/>
      <c r="J109" s="97"/>
      <c r="K109" s="110"/>
      <c r="L109" s="101"/>
      <c r="M109" s="98"/>
      <c r="N109" s="111"/>
      <c r="O109" s="102"/>
      <c r="P109" s="99"/>
      <c r="Q109" s="113"/>
    </row>
    <row r="110" spans="1:18" x14ac:dyDescent="0.3">
      <c r="A110" s="41" t="s">
        <v>54</v>
      </c>
      <c r="B110" s="42">
        <v>2015</v>
      </c>
      <c r="C110" s="188"/>
      <c r="D110" s="183"/>
      <c r="E110" s="189"/>
      <c r="F110" s="190"/>
      <c r="G110" s="184"/>
      <c r="H110" s="191"/>
      <c r="I110" s="192"/>
      <c r="J110" s="185"/>
      <c r="K110" s="193"/>
      <c r="L110" s="194"/>
      <c r="M110" s="186"/>
      <c r="N110" s="195"/>
      <c r="O110" s="196"/>
      <c r="P110" s="187"/>
      <c r="Q110" s="197"/>
    </row>
    <row r="111" spans="1:18" x14ac:dyDescent="0.3">
      <c r="A111" s="131" t="s">
        <v>56</v>
      </c>
      <c r="B111" s="82">
        <v>2007</v>
      </c>
      <c r="C111" s="104"/>
      <c r="D111" s="93"/>
      <c r="E111" s="108"/>
      <c r="F111" s="106"/>
      <c r="G111" s="105"/>
      <c r="H111" s="109"/>
      <c r="I111" s="100"/>
      <c r="J111" s="94"/>
      <c r="K111" s="110"/>
      <c r="L111" s="101"/>
      <c r="M111" s="98"/>
      <c r="N111" s="111"/>
      <c r="O111" s="102"/>
      <c r="P111" s="95"/>
      <c r="Q111" s="112"/>
    </row>
    <row r="112" spans="1:18" x14ac:dyDescent="0.3">
      <c r="A112" s="131" t="s">
        <v>56</v>
      </c>
      <c r="B112" s="16">
        <v>2008</v>
      </c>
      <c r="C112" s="104"/>
      <c r="D112" s="93"/>
      <c r="E112" s="108"/>
      <c r="F112" s="106"/>
      <c r="G112" s="105"/>
      <c r="H112" s="109"/>
      <c r="I112" s="100"/>
      <c r="J112" s="94"/>
      <c r="K112" s="110"/>
      <c r="L112" s="101"/>
      <c r="M112" s="98"/>
      <c r="N112" s="111"/>
      <c r="O112" s="102"/>
      <c r="P112" s="95"/>
      <c r="Q112" s="112"/>
    </row>
    <row r="113" spans="1:34" x14ac:dyDescent="0.3">
      <c r="A113" s="131" t="s">
        <v>56</v>
      </c>
      <c r="B113" s="53">
        <v>2009</v>
      </c>
      <c r="C113" s="104"/>
      <c r="D113" s="93"/>
      <c r="E113" s="108"/>
      <c r="F113" s="106"/>
      <c r="G113" s="105"/>
      <c r="H113" s="109"/>
      <c r="I113" s="100"/>
      <c r="J113" s="94"/>
      <c r="K113" s="110"/>
      <c r="L113" s="101"/>
      <c r="M113" s="98"/>
      <c r="N113" s="111"/>
      <c r="O113" s="102"/>
      <c r="P113" s="95"/>
      <c r="Q113" s="112"/>
    </row>
    <row r="114" spans="1:34" x14ac:dyDescent="0.3">
      <c r="A114" s="131" t="s">
        <v>56</v>
      </c>
      <c r="B114" s="16">
        <v>2010</v>
      </c>
      <c r="C114" s="104"/>
      <c r="D114" s="93"/>
      <c r="E114" s="108"/>
      <c r="F114" s="106"/>
      <c r="G114" s="105"/>
      <c r="H114" s="109"/>
      <c r="I114" s="100"/>
      <c r="J114" s="94"/>
      <c r="K114" s="110"/>
      <c r="L114" s="101"/>
      <c r="M114" s="98"/>
      <c r="N114" s="111"/>
      <c r="O114" s="102"/>
      <c r="P114" s="95"/>
      <c r="Q114" s="112"/>
    </row>
    <row r="115" spans="1:34" x14ac:dyDescent="0.3">
      <c r="A115" s="131" t="s">
        <v>56</v>
      </c>
      <c r="B115" s="53">
        <v>2011</v>
      </c>
      <c r="C115" s="104"/>
      <c r="D115" s="93"/>
      <c r="E115" s="108"/>
      <c r="F115" s="106"/>
      <c r="G115" s="105"/>
      <c r="H115" s="109"/>
      <c r="I115" s="100"/>
      <c r="J115" s="94"/>
      <c r="K115" s="110"/>
      <c r="L115" s="101"/>
      <c r="M115" s="98"/>
      <c r="N115" s="111"/>
      <c r="O115" s="102"/>
      <c r="P115" s="95"/>
      <c r="Q115" s="112"/>
      <c r="R115" s="135"/>
    </row>
    <row r="116" spans="1:34" x14ac:dyDescent="0.3">
      <c r="A116" s="131" t="s">
        <v>56</v>
      </c>
      <c r="B116" s="16">
        <v>2012</v>
      </c>
      <c r="C116" s="104"/>
      <c r="D116" s="93"/>
      <c r="E116" s="108"/>
      <c r="F116" s="106"/>
      <c r="G116" s="105"/>
      <c r="H116" s="109"/>
      <c r="I116" s="100"/>
      <c r="J116" s="94"/>
      <c r="K116" s="110"/>
      <c r="L116" s="101"/>
      <c r="M116" s="98"/>
      <c r="N116" s="111"/>
      <c r="O116" s="102"/>
      <c r="P116" s="95"/>
      <c r="Q116" s="112"/>
      <c r="R116" s="135" t="s">
        <v>205</v>
      </c>
      <c r="T116" s="104">
        <f>+U116*V116</f>
        <v>2304.8728000000001</v>
      </c>
      <c r="U116" s="93">
        <f>0.244*91.25</f>
        <v>22.265000000000001</v>
      </c>
      <c r="V116" s="108">
        <v>103.52</v>
      </c>
      <c r="W116" s="106">
        <f>+X116*Y116</f>
        <v>2098.0802250000002</v>
      </c>
      <c r="X116" s="105">
        <f>0.249*91.25</f>
        <v>22.721250000000001</v>
      </c>
      <c r="Y116" s="109">
        <v>92.34</v>
      </c>
      <c r="Z116" s="100">
        <f>+AA116*AB116</f>
        <v>2173.5959874999999</v>
      </c>
      <c r="AA116" s="94">
        <f>0.259*91.25</f>
        <v>23.633749999999999</v>
      </c>
      <c r="AB116" s="110">
        <v>91.97</v>
      </c>
      <c r="AC116" s="101">
        <f t="shared" ref="AC116:AD118" si="9">+AF116-Z116-W116-T116</f>
        <v>-1197.2702624999997</v>
      </c>
      <c r="AD116" s="98">
        <f t="shared" si="9"/>
        <v>-7.6649999999999956</v>
      </c>
      <c r="AE116" s="111">
        <f>+AC116/AD116</f>
        <v>156.19964285714292</v>
      </c>
      <c r="AF116" s="102">
        <f>+AG116*AH116</f>
        <v>5379.2787500000004</v>
      </c>
      <c r="AG116" s="95">
        <f>0.167*365</f>
        <v>60.955000000000005</v>
      </c>
      <c r="AH116" s="112">
        <v>88.25</v>
      </c>
    </row>
    <row r="117" spans="1:34" x14ac:dyDescent="0.3">
      <c r="A117" s="43" t="s">
        <v>56</v>
      </c>
      <c r="B117" s="53">
        <v>2013</v>
      </c>
      <c r="C117" s="104"/>
      <c r="D117" s="96"/>
      <c r="E117" s="108"/>
      <c r="F117" s="106"/>
      <c r="G117" s="107"/>
      <c r="H117" s="109"/>
      <c r="I117" s="100"/>
      <c r="J117" s="97"/>
      <c r="K117" s="110"/>
      <c r="L117" s="101"/>
      <c r="M117" s="98"/>
      <c r="N117" s="111"/>
      <c r="O117" s="102"/>
      <c r="P117" s="99"/>
      <c r="Q117" s="113"/>
      <c r="R117" s="135" t="s">
        <v>183</v>
      </c>
      <c r="T117" s="104">
        <f>+U117*V117</f>
        <v>2205.9213</v>
      </c>
      <c r="U117" s="96">
        <f>0.264*91.25</f>
        <v>24.09</v>
      </c>
      <c r="V117" s="108">
        <v>91.57</v>
      </c>
      <c r="W117" s="106">
        <f>+X117*Y117</f>
        <v>2264.4490500000002</v>
      </c>
      <c r="X117" s="107">
        <f>0.261*91.25</f>
        <v>23.81625</v>
      </c>
      <c r="Y117" s="109">
        <v>95.08</v>
      </c>
      <c r="Z117" s="100">
        <f>+AA117*AB117</f>
        <v>2541.1391250000001</v>
      </c>
      <c r="AA117" s="97">
        <f>0.267*91.25</f>
        <v>24.363750000000003</v>
      </c>
      <c r="AB117" s="110">
        <v>104.3</v>
      </c>
      <c r="AC117" s="101">
        <f t="shared" si="9"/>
        <v>-1070.5942750000008</v>
      </c>
      <c r="AD117" s="98">
        <f t="shared" si="9"/>
        <v>-8.0300000000000082</v>
      </c>
      <c r="AE117" s="111">
        <f>+AC117/AD117</f>
        <v>133.32431818181814</v>
      </c>
      <c r="AF117" s="102">
        <f>+AG117*AH117</f>
        <v>5940.9151999999995</v>
      </c>
      <c r="AG117" s="99">
        <f>0.176*365</f>
        <v>64.239999999999995</v>
      </c>
      <c r="AH117" s="113">
        <v>92.48</v>
      </c>
    </row>
    <row r="118" spans="1:34" x14ac:dyDescent="0.3">
      <c r="A118" s="43" t="s">
        <v>56</v>
      </c>
      <c r="B118" s="53">
        <v>2014</v>
      </c>
      <c r="C118" s="104"/>
      <c r="D118" s="96"/>
      <c r="E118" s="108"/>
      <c r="F118" s="106"/>
      <c r="G118" s="107"/>
      <c r="H118" s="109"/>
      <c r="I118" s="100"/>
      <c r="J118" s="97"/>
      <c r="K118" s="110"/>
      <c r="L118" s="101"/>
      <c r="M118" s="98"/>
      <c r="N118" s="111"/>
      <c r="O118" s="102"/>
      <c r="P118" s="99"/>
      <c r="Q118" s="113"/>
      <c r="T118" s="104">
        <f>+U118*V118</f>
        <v>2398.7398499999999</v>
      </c>
      <c r="U118" s="96">
        <f>0.274*91.25</f>
        <v>25.002500000000001</v>
      </c>
      <c r="V118" s="108">
        <v>95.94</v>
      </c>
      <c r="W118" s="106">
        <f>+X118*Y118</f>
        <v>2472.8239000000003</v>
      </c>
      <c r="X118" s="107">
        <f>0.278*91.25</f>
        <v>25.367500000000003</v>
      </c>
      <c r="Y118" s="109">
        <v>97.48</v>
      </c>
      <c r="Z118" s="100">
        <f>+AA118*AB118</f>
        <v>2330.5925249999996</v>
      </c>
      <c r="AA118" s="97">
        <f>0.282*91.25</f>
        <v>25.732499999999998</v>
      </c>
      <c r="AB118" s="110">
        <v>90.57</v>
      </c>
      <c r="AC118" s="101">
        <f t="shared" si="9"/>
        <v>-1542.6159249999996</v>
      </c>
      <c r="AD118" s="98">
        <f t="shared" si="9"/>
        <v>-9.3075000000000045</v>
      </c>
      <c r="AE118" s="111">
        <f>+AC118/AD118</f>
        <v>165.73901960784301</v>
      </c>
      <c r="AF118" s="102">
        <f>+AG118*AH118</f>
        <v>5659.5403500000002</v>
      </c>
      <c r="AG118" s="99">
        <f>0.183*365</f>
        <v>66.795000000000002</v>
      </c>
      <c r="AH118" s="113">
        <v>84.73</v>
      </c>
    </row>
    <row r="119" spans="1:34" x14ac:dyDescent="0.3">
      <c r="A119" s="41" t="s">
        <v>56</v>
      </c>
      <c r="B119" s="42">
        <v>2015</v>
      </c>
      <c r="C119" s="188"/>
      <c r="D119" s="183"/>
      <c r="E119" s="189"/>
      <c r="F119" s="190"/>
      <c r="G119" s="184"/>
      <c r="H119" s="191"/>
      <c r="I119" s="192"/>
      <c r="J119" s="185"/>
      <c r="K119" s="193"/>
      <c r="L119" s="194"/>
      <c r="M119" s="186"/>
      <c r="N119" s="195"/>
      <c r="O119" s="196"/>
      <c r="P119" s="187"/>
      <c r="Q119" s="197"/>
    </row>
    <row r="120" spans="1:34" x14ac:dyDescent="0.3">
      <c r="A120" s="131" t="s">
        <v>59</v>
      </c>
      <c r="B120" s="82">
        <v>2007</v>
      </c>
      <c r="C120" s="104"/>
      <c r="D120" s="93"/>
      <c r="E120" s="108"/>
      <c r="F120" s="106"/>
      <c r="G120" s="105"/>
      <c r="H120" s="109"/>
      <c r="I120" s="100"/>
      <c r="J120" s="94"/>
      <c r="K120" s="110"/>
      <c r="L120" s="101"/>
      <c r="M120" s="98"/>
      <c r="N120" s="111"/>
      <c r="O120" s="102"/>
      <c r="P120" s="95"/>
      <c r="Q120" s="112"/>
    </row>
    <row r="121" spans="1:34" x14ac:dyDescent="0.3">
      <c r="A121" s="131" t="s">
        <v>59</v>
      </c>
      <c r="B121" s="16">
        <v>2008</v>
      </c>
      <c r="C121" s="104"/>
      <c r="D121" s="93"/>
      <c r="E121" s="108"/>
      <c r="F121" s="106"/>
      <c r="G121" s="105"/>
      <c r="H121" s="109"/>
      <c r="I121" s="100"/>
      <c r="J121" s="94"/>
      <c r="K121" s="110"/>
      <c r="L121" s="101"/>
      <c r="M121" s="98"/>
      <c r="N121" s="111"/>
      <c r="O121" s="102"/>
      <c r="P121" s="95"/>
      <c r="Q121" s="112"/>
    </row>
    <row r="122" spans="1:34" x14ac:dyDescent="0.3">
      <c r="A122" s="131" t="s">
        <v>59</v>
      </c>
      <c r="B122" s="53">
        <v>2009</v>
      </c>
      <c r="C122" s="104"/>
      <c r="D122" s="93"/>
      <c r="E122" s="108"/>
      <c r="F122" s="106"/>
      <c r="G122" s="105"/>
      <c r="H122" s="109"/>
      <c r="I122" s="100"/>
      <c r="J122" s="94"/>
      <c r="K122" s="110"/>
      <c r="L122" s="101"/>
      <c r="M122" s="98"/>
      <c r="N122" s="111"/>
      <c r="O122" s="102"/>
      <c r="P122" s="95"/>
      <c r="Q122" s="112"/>
    </row>
    <row r="123" spans="1:34" x14ac:dyDescent="0.3">
      <c r="A123" s="131" t="s">
        <v>59</v>
      </c>
      <c r="B123" s="16">
        <v>2010</v>
      </c>
      <c r="C123" s="104"/>
      <c r="D123" s="93"/>
      <c r="E123" s="108"/>
      <c r="F123" s="106"/>
      <c r="G123" s="105"/>
      <c r="H123" s="109"/>
      <c r="I123" s="100"/>
      <c r="J123" s="94"/>
      <c r="K123" s="110"/>
      <c r="L123" s="101"/>
      <c r="M123" s="98"/>
      <c r="N123" s="111"/>
      <c r="O123" s="102"/>
      <c r="P123" s="95"/>
      <c r="Q123" s="112"/>
    </row>
    <row r="124" spans="1:34" x14ac:dyDescent="0.3">
      <c r="A124" s="131" t="s">
        <v>59</v>
      </c>
      <c r="B124" s="53">
        <v>2011</v>
      </c>
      <c r="C124" s="104"/>
      <c r="D124" s="93"/>
      <c r="E124" s="108"/>
      <c r="F124" s="106"/>
      <c r="G124" s="105"/>
      <c r="H124" s="109"/>
      <c r="I124" s="100"/>
      <c r="J124" s="94"/>
      <c r="K124" s="110"/>
      <c r="L124" s="101"/>
      <c r="M124" s="98"/>
      <c r="N124" s="111"/>
      <c r="O124" s="102"/>
      <c r="P124" s="95"/>
      <c r="Q124" s="112"/>
    </row>
    <row r="125" spans="1:34" x14ac:dyDescent="0.3">
      <c r="A125" s="131" t="s">
        <v>59</v>
      </c>
      <c r="B125" s="16">
        <v>2012</v>
      </c>
      <c r="C125" s="104">
        <f>+D125*E125</f>
        <v>5.8241942899999994</v>
      </c>
      <c r="D125" s="93">
        <v>5.7671E-2</v>
      </c>
      <c r="E125" s="108">
        <v>100.99</v>
      </c>
      <c r="F125" s="106">
        <f>+G125*H125</f>
        <v>495.06053759999998</v>
      </c>
      <c r="G125" s="105">
        <f>0.061428*91.25</f>
        <v>5.6053050000000004</v>
      </c>
      <c r="H125" s="109">
        <v>88.32</v>
      </c>
      <c r="I125" s="100">
        <f>+J125*K125</f>
        <v>511.30103009999999</v>
      </c>
      <c r="J125" s="94">
        <f>0.062342*91.25</f>
        <v>5.6887075000000005</v>
      </c>
      <c r="K125" s="110">
        <v>89.88</v>
      </c>
      <c r="L125" s="101">
        <f t="shared" ref="L125:M128" si="10">+O125-I125-F125-C125</f>
        <v>1088.7800880100003</v>
      </c>
      <c r="M125" s="98">
        <f t="shared" si="10"/>
        <v>11.733316500000001</v>
      </c>
      <c r="N125" s="111">
        <f>+L125/M125</f>
        <v>92.793890628451067</v>
      </c>
      <c r="O125" s="102">
        <f>+P125*Q125</f>
        <v>2100.96585</v>
      </c>
      <c r="P125" s="95">
        <v>23.085000000000001</v>
      </c>
      <c r="Q125" s="112">
        <v>91.01</v>
      </c>
    </row>
    <row r="126" spans="1:34" x14ac:dyDescent="0.3">
      <c r="A126" s="43" t="s">
        <v>59</v>
      </c>
      <c r="B126" s="53">
        <v>2013</v>
      </c>
      <c r="C126" s="104">
        <f>+D126*E126</f>
        <v>550.28026157500005</v>
      </c>
      <c r="D126" s="96">
        <f>0.068786*91.25</f>
        <v>6.2767225</v>
      </c>
      <c r="E126" s="108">
        <v>87.67</v>
      </c>
      <c r="F126" s="106">
        <f>+G126*H126</f>
        <v>572.99665068749994</v>
      </c>
      <c r="G126" s="107">
        <f>0.069501*91.25</f>
        <v>6.3419662499999996</v>
      </c>
      <c r="H126" s="109">
        <v>90.35</v>
      </c>
      <c r="I126" s="100">
        <f>+J126*K126</f>
        <v>628.02317925</v>
      </c>
      <c r="J126" s="97">
        <f>0.067674*91.25</f>
        <v>6.1752525</v>
      </c>
      <c r="K126" s="110">
        <v>101.7</v>
      </c>
      <c r="L126" s="101">
        <f t="shared" si="10"/>
        <v>804.4858584875002</v>
      </c>
      <c r="M126" s="98">
        <f t="shared" si="10"/>
        <v>8.6610587500000005</v>
      </c>
      <c r="N126" s="111">
        <f>+L126/M126</f>
        <v>92.885394466063417</v>
      </c>
      <c r="O126" s="102">
        <f>+P126*Q126</f>
        <v>2555.78595</v>
      </c>
      <c r="P126" s="99">
        <v>27.454999999999998</v>
      </c>
      <c r="Q126" s="113">
        <v>93.09</v>
      </c>
      <c r="R126" s="114" t="s">
        <v>183</v>
      </c>
    </row>
    <row r="127" spans="1:34" x14ac:dyDescent="0.3">
      <c r="A127" s="43" t="s">
        <v>59</v>
      </c>
      <c r="B127" s="53">
        <v>2014</v>
      </c>
      <c r="C127" s="104">
        <f>+D127*E127</f>
        <v>662.47972857499997</v>
      </c>
      <c r="D127" s="96">
        <f>0.078589*91.25</f>
        <v>7.1712462500000003</v>
      </c>
      <c r="E127" s="108">
        <v>92.38</v>
      </c>
      <c r="F127" s="106">
        <f>+G127*H127</f>
        <v>697.92640975000006</v>
      </c>
      <c r="G127" s="107">
        <f>0.07978*91.25</f>
        <v>7.2799250000000004</v>
      </c>
      <c r="H127" s="109">
        <v>95.87</v>
      </c>
      <c r="I127" s="100">
        <f>+J127*K127</f>
        <v>737.34816722499988</v>
      </c>
      <c r="J127" s="97">
        <f>0.088973*91.25</f>
        <v>8.1187862499999994</v>
      </c>
      <c r="K127" s="110">
        <v>90.82</v>
      </c>
      <c r="L127" s="101">
        <f t="shared" si="10"/>
        <v>699.96187445000044</v>
      </c>
      <c r="M127" s="98">
        <f t="shared" si="10"/>
        <v>10.148042500000006</v>
      </c>
      <c r="N127" s="111">
        <f>+L127/M127</f>
        <v>68.975063363205265</v>
      </c>
      <c r="O127" s="102">
        <f>+P127*Q127</f>
        <v>2797.7161800000003</v>
      </c>
      <c r="P127" s="99">
        <v>32.718000000000004</v>
      </c>
      <c r="Q127" s="113">
        <v>85.51</v>
      </c>
    </row>
    <row r="128" spans="1:34" x14ac:dyDescent="0.3">
      <c r="A128" s="41" t="s">
        <v>59</v>
      </c>
      <c r="B128" s="42">
        <v>2015</v>
      </c>
      <c r="C128" s="188">
        <f>+D128*E128</f>
        <v>386.88111855000005</v>
      </c>
      <c r="D128" s="183">
        <f>0.098554*91.25</f>
        <v>8.993052500000001</v>
      </c>
      <c r="E128" s="189">
        <v>43.02</v>
      </c>
      <c r="F128" s="190">
        <f>+G128*H128</f>
        <v>473.8962133500001</v>
      </c>
      <c r="G128" s="184">
        <f>0.100569*91.25</f>
        <v>9.1769212500000013</v>
      </c>
      <c r="H128" s="191">
        <v>51.64</v>
      </c>
      <c r="I128" s="192">
        <f>+J128*K128</f>
        <v>422.70909697500002</v>
      </c>
      <c r="J128" s="185">
        <f>0.109101*91.25</f>
        <v>9.9554662500000006</v>
      </c>
      <c r="K128" s="193">
        <v>42.46</v>
      </c>
      <c r="L128" s="194">
        <f t="shared" si="10"/>
        <v>391.09817112499974</v>
      </c>
      <c r="M128" s="186">
        <f t="shared" si="10"/>
        <v>10.326559999999997</v>
      </c>
      <c r="N128" s="195">
        <f>+L128/M128</f>
        <v>37.873035272636756</v>
      </c>
      <c r="O128" s="196">
        <f>+P128*Q128</f>
        <v>1674.5845999999999</v>
      </c>
      <c r="P128" s="187">
        <v>38.451999999999998</v>
      </c>
      <c r="Q128" s="197">
        <v>43.55</v>
      </c>
    </row>
    <row r="129" spans="1:18" x14ac:dyDescent="0.3">
      <c r="A129" s="131" t="s">
        <v>63</v>
      </c>
      <c r="B129" s="82">
        <v>2007</v>
      </c>
      <c r="C129" s="104"/>
      <c r="D129" s="93"/>
      <c r="E129" s="108"/>
      <c r="F129" s="106"/>
      <c r="G129" s="105"/>
      <c r="H129" s="109"/>
      <c r="I129" s="100"/>
      <c r="J129" s="94"/>
      <c r="K129" s="110"/>
      <c r="L129" s="101"/>
      <c r="M129" s="98"/>
      <c r="N129" s="111"/>
      <c r="O129" s="102"/>
      <c r="P129" s="95"/>
      <c r="Q129" s="112"/>
    </row>
    <row r="130" spans="1:18" x14ac:dyDescent="0.3">
      <c r="A130" s="131" t="s">
        <v>63</v>
      </c>
      <c r="B130" s="16">
        <v>2008</v>
      </c>
      <c r="C130" s="104"/>
      <c r="D130" s="93"/>
      <c r="E130" s="108"/>
      <c r="F130" s="106"/>
      <c r="G130" s="105"/>
      <c r="H130" s="109"/>
      <c r="I130" s="100"/>
      <c r="J130" s="94"/>
      <c r="K130" s="110"/>
      <c r="L130" s="101"/>
      <c r="M130" s="98"/>
      <c r="N130" s="111"/>
      <c r="O130" s="102"/>
      <c r="P130" s="95"/>
      <c r="Q130" s="112"/>
    </row>
    <row r="131" spans="1:18" x14ac:dyDescent="0.3">
      <c r="A131" s="131" t="s">
        <v>63</v>
      </c>
      <c r="B131" s="53">
        <v>2009</v>
      </c>
      <c r="C131" s="104"/>
      <c r="D131" s="93"/>
      <c r="E131" s="108"/>
      <c r="F131" s="106"/>
      <c r="G131" s="105"/>
      <c r="H131" s="109"/>
      <c r="I131" s="100"/>
      <c r="J131" s="94"/>
      <c r="K131" s="110"/>
      <c r="L131" s="101"/>
      <c r="M131" s="98"/>
      <c r="N131" s="111"/>
      <c r="O131" s="102"/>
      <c r="P131" s="95"/>
      <c r="Q131" s="112"/>
    </row>
    <row r="132" spans="1:18" x14ac:dyDescent="0.3">
      <c r="A132" s="131" t="s">
        <v>63</v>
      </c>
      <c r="B132" s="16">
        <v>2010</v>
      </c>
      <c r="C132" s="104"/>
      <c r="D132" s="93"/>
      <c r="E132" s="108"/>
      <c r="F132" s="106"/>
      <c r="G132" s="105"/>
      <c r="H132" s="109"/>
      <c r="I132" s="100"/>
      <c r="J132" s="94"/>
      <c r="K132" s="110"/>
      <c r="L132" s="101"/>
      <c r="M132" s="98"/>
      <c r="N132" s="111"/>
      <c r="O132" s="102"/>
      <c r="P132" s="95"/>
      <c r="Q132" s="112"/>
    </row>
    <row r="133" spans="1:18" x14ac:dyDescent="0.3">
      <c r="A133" s="131" t="s">
        <v>63</v>
      </c>
      <c r="B133" s="53">
        <v>2011</v>
      </c>
      <c r="C133" s="104"/>
      <c r="D133" s="93"/>
      <c r="E133" s="108"/>
      <c r="F133" s="106"/>
      <c r="G133" s="105"/>
      <c r="H133" s="109"/>
      <c r="I133" s="100"/>
      <c r="J133" s="94"/>
      <c r="K133" s="110"/>
      <c r="L133" s="101"/>
      <c r="M133" s="98"/>
      <c r="N133" s="111"/>
      <c r="O133" s="102"/>
      <c r="P133" s="95"/>
      <c r="Q133" s="112"/>
    </row>
    <row r="134" spans="1:18" x14ac:dyDescent="0.3">
      <c r="A134" s="131" t="s">
        <v>63</v>
      </c>
      <c r="B134" s="16">
        <v>2012</v>
      </c>
      <c r="C134" s="104">
        <f>+D134*E134</f>
        <v>50.798752579999999</v>
      </c>
      <c r="D134" s="93">
        <v>0.60807699999999998</v>
      </c>
      <c r="E134" s="108">
        <v>83.54</v>
      </c>
      <c r="F134" s="106">
        <f>+G134*H134</f>
        <v>52.527322059999996</v>
      </c>
      <c r="G134" s="105">
        <v>0.62302599999999997</v>
      </c>
      <c r="H134" s="109">
        <v>84.31</v>
      </c>
      <c r="I134" s="100">
        <f>+J134*K134</f>
        <v>60.493129879999998</v>
      </c>
      <c r="J134" s="94">
        <v>0.71285799999999999</v>
      </c>
      <c r="K134" s="110">
        <v>84.86</v>
      </c>
      <c r="L134" s="101">
        <f t="shared" ref="L134:M137" si="11">+O134-I134-F134-C134</f>
        <v>74.638435480000012</v>
      </c>
      <c r="M134" s="98">
        <f t="shared" si="11"/>
        <v>0.90703900000000037</v>
      </c>
      <c r="N134" s="111">
        <f>+L134/M134</f>
        <v>82.28801129830137</v>
      </c>
      <c r="O134" s="102">
        <f>+P134*Q134</f>
        <v>238.45764</v>
      </c>
      <c r="P134" s="95">
        <v>2.851</v>
      </c>
      <c r="Q134" s="112">
        <v>83.64</v>
      </c>
    </row>
    <row r="135" spans="1:18" x14ac:dyDescent="0.3">
      <c r="A135" s="43" t="s">
        <v>63</v>
      </c>
      <c r="B135" s="53">
        <v>2013</v>
      </c>
      <c r="C135" s="104">
        <f>+D135*E135</f>
        <v>77.996094519999986</v>
      </c>
      <c r="D135" s="96">
        <v>0.91266199999999997</v>
      </c>
      <c r="E135" s="108">
        <v>85.46</v>
      </c>
      <c r="F135" s="106">
        <f>+G135*H135</f>
        <v>73.561751529999995</v>
      </c>
      <c r="G135" s="107">
        <v>0.86451699999999998</v>
      </c>
      <c r="H135" s="109">
        <v>85.09</v>
      </c>
      <c r="I135" s="100">
        <f>+J135*K135</f>
        <v>86.999390980000001</v>
      </c>
      <c r="J135" s="97">
        <v>1.0180130000000001</v>
      </c>
      <c r="K135" s="110">
        <v>85.46</v>
      </c>
      <c r="L135" s="101">
        <f t="shared" si="11"/>
        <v>85.589662970000063</v>
      </c>
      <c r="M135" s="98">
        <f t="shared" si="11"/>
        <v>1.0318080000000003</v>
      </c>
      <c r="N135" s="111">
        <f>+L135/M135</f>
        <v>82.951152704766812</v>
      </c>
      <c r="O135" s="102">
        <f>+P135*Q135</f>
        <v>324.14690000000002</v>
      </c>
      <c r="P135" s="99">
        <v>3.827</v>
      </c>
      <c r="Q135" s="113">
        <v>84.7</v>
      </c>
      <c r="R135" t="s">
        <v>285</v>
      </c>
    </row>
    <row r="136" spans="1:18" x14ac:dyDescent="0.3">
      <c r="A136" s="43" t="s">
        <v>63</v>
      </c>
      <c r="B136" s="53">
        <v>2014</v>
      </c>
      <c r="C136" s="104">
        <f>+D136*E136</f>
        <v>84.912944350000004</v>
      </c>
      <c r="D136" s="96">
        <v>1.035145</v>
      </c>
      <c r="E136" s="108">
        <v>82.03</v>
      </c>
      <c r="F136" s="106">
        <f>+G136*H136</f>
        <v>79.792173669999997</v>
      </c>
      <c r="G136" s="107">
        <v>0.98960899999999996</v>
      </c>
      <c r="H136" s="109">
        <v>80.63</v>
      </c>
      <c r="I136" s="100">
        <f>+J136*K136</f>
        <v>77.503698</v>
      </c>
      <c r="J136" s="97">
        <v>0.98529999999999995</v>
      </c>
      <c r="K136" s="110">
        <v>78.66</v>
      </c>
      <c r="L136" s="101">
        <f t="shared" si="11"/>
        <v>82.373683980000038</v>
      </c>
      <c r="M136" s="98">
        <f t="shared" si="11"/>
        <v>1.0599460000000001</v>
      </c>
      <c r="N136" s="111">
        <f>+L136/M136</f>
        <v>77.714981687746388</v>
      </c>
      <c r="O136" s="102">
        <f>+P136*Q136</f>
        <v>324.58250000000004</v>
      </c>
      <c r="P136" s="99">
        <v>4.07</v>
      </c>
      <c r="Q136" s="113">
        <v>79.75</v>
      </c>
    </row>
    <row r="137" spans="1:18" x14ac:dyDescent="0.3">
      <c r="A137" s="41" t="s">
        <v>63</v>
      </c>
      <c r="B137" s="42">
        <v>2015</v>
      </c>
      <c r="C137" s="188">
        <f>+D137*E137</f>
        <v>72.961777600000005</v>
      </c>
      <c r="D137" s="183">
        <v>1.13896</v>
      </c>
      <c r="E137" s="189">
        <v>64.06</v>
      </c>
      <c r="F137" s="190">
        <f>+G137*H137</f>
        <v>70.376338199999992</v>
      </c>
      <c r="G137" s="184">
        <v>1.0894170000000001</v>
      </c>
      <c r="H137" s="191">
        <v>64.599999999999994</v>
      </c>
      <c r="I137" s="192">
        <f>+J137*K137</f>
        <v>73.095385000000007</v>
      </c>
      <c r="J137" s="185">
        <v>0.95862800000000004</v>
      </c>
      <c r="K137" s="193">
        <v>76.25</v>
      </c>
      <c r="L137" s="194">
        <f t="shared" si="11"/>
        <v>74.674019199999947</v>
      </c>
      <c r="M137" s="186">
        <f t="shared" si="11"/>
        <v>0.89699499999999954</v>
      </c>
      <c r="N137" s="195">
        <f>+L137/M137</f>
        <v>83.24909191244096</v>
      </c>
      <c r="O137" s="196">
        <f>+P137*Q137</f>
        <v>291.10751999999997</v>
      </c>
      <c r="P137" s="187">
        <v>4.0839999999999996</v>
      </c>
      <c r="Q137" s="197">
        <v>71.28</v>
      </c>
    </row>
    <row r="138" spans="1:18" x14ac:dyDescent="0.3">
      <c r="A138" s="131" t="s">
        <v>67</v>
      </c>
      <c r="B138" s="82">
        <v>2007</v>
      </c>
      <c r="C138" s="104"/>
      <c r="D138" s="93"/>
      <c r="E138" s="108"/>
      <c r="F138" s="106"/>
      <c r="G138" s="105"/>
      <c r="H138" s="109"/>
      <c r="I138" s="100"/>
      <c r="J138" s="94"/>
      <c r="K138" s="110"/>
      <c r="L138" s="101"/>
      <c r="M138" s="98"/>
      <c r="N138" s="111"/>
      <c r="O138" s="102"/>
      <c r="P138" s="95"/>
      <c r="Q138" s="112"/>
    </row>
    <row r="139" spans="1:18" x14ac:dyDescent="0.3">
      <c r="A139" s="131" t="s">
        <v>67</v>
      </c>
      <c r="B139" s="16">
        <v>2008</v>
      </c>
      <c r="C139" s="104"/>
      <c r="D139" s="93"/>
      <c r="E139" s="108"/>
      <c r="F139" s="106"/>
      <c r="G139" s="105"/>
      <c r="H139" s="109"/>
      <c r="I139" s="100"/>
      <c r="J139" s="94"/>
      <c r="K139" s="110"/>
      <c r="L139" s="101"/>
      <c r="M139" s="98"/>
      <c r="N139" s="111"/>
      <c r="O139" s="102"/>
      <c r="P139" s="95"/>
      <c r="Q139" s="112"/>
    </row>
    <row r="140" spans="1:18" x14ac:dyDescent="0.3">
      <c r="A140" s="131" t="s">
        <v>67</v>
      </c>
      <c r="B140" s="53">
        <v>2009</v>
      </c>
      <c r="C140" s="104"/>
      <c r="D140" s="93"/>
      <c r="E140" s="108"/>
      <c r="F140" s="106"/>
      <c r="G140" s="105"/>
      <c r="H140" s="109"/>
      <c r="I140" s="100"/>
      <c r="J140" s="94"/>
      <c r="K140" s="110"/>
      <c r="L140" s="101"/>
      <c r="M140" s="98"/>
      <c r="N140" s="111"/>
      <c r="O140" s="102"/>
      <c r="P140" s="95"/>
      <c r="Q140" s="112"/>
    </row>
    <row r="141" spans="1:18" x14ac:dyDescent="0.3">
      <c r="A141" s="131" t="s">
        <v>67</v>
      </c>
      <c r="B141" s="16">
        <v>2010</v>
      </c>
      <c r="C141" s="104"/>
      <c r="D141" s="93"/>
      <c r="E141" s="108"/>
      <c r="F141" s="106"/>
      <c r="G141" s="105"/>
      <c r="H141" s="109"/>
      <c r="I141" s="100"/>
      <c r="J141" s="94"/>
      <c r="K141" s="110"/>
      <c r="L141" s="101"/>
      <c r="M141" s="98"/>
      <c r="N141" s="111"/>
      <c r="O141" s="102"/>
      <c r="P141" s="95"/>
      <c r="Q141" s="112"/>
    </row>
    <row r="142" spans="1:18" x14ac:dyDescent="0.3">
      <c r="A142" s="131" t="s">
        <v>67</v>
      </c>
      <c r="B142" s="53">
        <v>2011</v>
      </c>
      <c r="C142" s="104"/>
      <c r="D142" s="93"/>
      <c r="E142" s="108"/>
      <c r="F142" s="106"/>
      <c r="G142" s="105"/>
      <c r="H142" s="109"/>
      <c r="I142" s="100"/>
      <c r="J142" s="94"/>
      <c r="K142" s="110"/>
      <c r="L142" s="101"/>
      <c r="M142" s="98"/>
      <c r="N142" s="111"/>
      <c r="O142" s="102"/>
      <c r="P142" s="95"/>
      <c r="Q142" s="112"/>
    </row>
    <row r="143" spans="1:18" x14ac:dyDescent="0.3">
      <c r="A143" s="131" t="s">
        <v>67</v>
      </c>
      <c r="B143" s="16">
        <v>2012</v>
      </c>
      <c r="C143" s="104">
        <f>+D143*E143</f>
        <v>2.50536</v>
      </c>
      <c r="D143" s="93">
        <v>2.4E-2</v>
      </c>
      <c r="E143" s="108">
        <v>104.39</v>
      </c>
      <c r="F143" s="106">
        <f>+G143*H143</f>
        <v>1.6710400000000001</v>
      </c>
      <c r="G143" s="105">
        <v>1.6E-2</v>
      </c>
      <c r="H143" s="109">
        <v>104.44</v>
      </c>
      <c r="I143" s="100">
        <f>+J143*K143</f>
        <v>1.8937299999999999</v>
      </c>
      <c r="J143" s="94">
        <v>1.9E-2</v>
      </c>
      <c r="K143" s="110">
        <v>99.67</v>
      </c>
      <c r="L143" s="101">
        <f t="shared" ref="L143:M146" si="12">+O143-I143-F143-C143</f>
        <v>2.3576900000000012</v>
      </c>
      <c r="M143" s="98">
        <f t="shared" si="12"/>
        <v>2.4E-2</v>
      </c>
      <c r="N143" s="111">
        <f>+L143/M143</f>
        <v>98.237083333333374</v>
      </c>
      <c r="O143" s="102">
        <f>+P143*Q143</f>
        <v>8.4278200000000005</v>
      </c>
      <c r="P143" s="95">
        <v>8.3000000000000004E-2</v>
      </c>
      <c r="Q143" s="112">
        <v>101.54</v>
      </c>
    </row>
    <row r="144" spans="1:18" x14ac:dyDescent="0.3">
      <c r="A144" s="43" t="s">
        <v>67</v>
      </c>
      <c r="B144" s="53">
        <v>2013</v>
      </c>
      <c r="C144" s="104">
        <f>+D144*E144</f>
        <v>4.3841300000000007</v>
      </c>
      <c r="D144" s="96">
        <v>4.1000000000000002E-2</v>
      </c>
      <c r="E144" s="108">
        <v>106.93</v>
      </c>
      <c r="F144" s="106">
        <f>+G144*H144</f>
        <v>2.3834400000000002</v>
      </c>
      <c r="G144" s="107">
        <v>2.4E-2</v>
      </c>
      <c r="H144" s="109">
        <v>99.31</v>
      </c>
      <c r="I144" s="100">
        <f>+J144*K144</f>
        <v>3.9486399999999997</v>
      </c>
      <c r="J144" s="97">
        <v>3.6999999999999998E-2</v>
      </c>
      <c r="K144" s="110">
        <v>106.72</v>
      </c>
      <c r="L144" s="101">
        <f t="shared" si="12"/>
        <v>3.5419499999999999</v>
      </c>
      <c r="M144" s="98">
        <f t="shared" si="12"/>
        <v>3.6000000000000011E-2</v>
      </c>
      <c r="N144" s="111">
        <f>+L144/M144</f>
        <v>98.387499999999974</v>
      </c>
      <c r="O144" s="102">
        <f>+P144*Q144</f>
        <v>14.25816</v>
      </c>
      <c r="P144" s="99">
        <v>0.13800000000000001</v>
      </c>
      <c r="Q144" s="113">
        <v>103.32</v>
      </c>
      <c r="R144" t="s">
        <v>195</v>
      </c>
    </row>
    <row r="145" spans="1:18" x14ac:dyDescent="0.3">
      <c r="A145" s="43" t="s">
        <v>67</v>
      </c>
      <c r="B145" s="53">
        <v>2014</v>
      </c>
      <c r="C145" s="104">
        <f>+D145*E145</f>
        <v>1.6068800000000001</v>
      </c>
      <c r="D145" s="96">
        <v>1.6E-2</v>
      </c>
      <c r="E145" s="108">
        <v>100.43</v>
      </c>
      <c r="F145" s="106">
        <f>+G145*H145</f>
        <v>4.8536899999999994</v>
      </c>
      <c r="G145" s="107">
        <v>4.7E-2</v>
      </c>
      <c r="H145" s="109">
        <v>103.27</v>
      </c>
      <c r="I145" s="100">
        <f>+J145*K145</f>
        <v>4.9832099999999997</v>
      </c>
      <c r="J145" s="97">
        <v>5.0999999999999997E-2</v>
      </c>
      <c r="K145" s="110">
        <v>97.71</v>
      </c>
      <c r="L145" s="101">
        <f t="shared" si="12"/>
        <v>7.3350699999999982</v>
      </c>
      <c r="M145" s="98">
        <f t="shared" si="12"/>
        <v>0.12100000000000001</v>
      </c>
      <c r="N145" s="111">
        <f>+L145/M145</f>
        <v>60.620413223140474</v>
      </c>
      <c r="O145" s="102">
        <f>+P145*Q145</f>
        <v>18.778849999999998</v>
      </c>
      <c r="P145" s="99">
        <v>0.23499999999999999</v>
      </c>
      <c r="Q145" s="113">
        <v>79.91</v>
      </c>
    </row>
    <row r="146" spans="1:18" x14ac:dyDescent="0.3">
      <c r="A146" s="41" t="s">
        <v>67</v>
      </c>
      <c r="B146" s="42">
        <v>2015</v>
      </c>
      <c r="C146" s="188">
        <f>+D146*E146</f>
        <v>16.840499999999999</v>
      </c>
      <c r="D146" s="183">
        <v>0.54500000000000004</v>
      </c>
      <c r="E146" s="189">
        <v>30.9</v>
      </c>
      <c r="F146" s="190">
        <f>+G146*H146</f>
        <v>24.078320000000001</v>
      </c>
      <c r="G146" s="184">
        <v>0.58899999999999997</v>
      </c>
      <c r="H146" s="191">
        <v>40.880000000000003</v>
      </c>
      <c r="I146" s="192">
        <f>+J146*K146</f>
        <v>18.827000000000002</v>
      </c>
      <c r="J146" s="185">
        <v>0.56200000000000006</v>
      </c>
      <c r="K146" s="193">
        <v>33.5</v>
      </c>
      <c r="L146" s="194">
        <f t="shared" si="12"/>
        <v>15.474830000000004</v>
      </c>
      <c r="M146" s="186">
        <f t="shared" si="12"/>
        <v>0.56900000000000006</v>
      </c>
      <c r="N146" s="195">
        <f>+L146/M146</f>
        <v>27.196537785588756</v>
      </c>
      <c r="O146" s="196">
        <f>+P146*Q146</f>
        <v>75.220650000000006</v>
      </c>
      <c r="P146" s="187">
        <v>2.2650000000000001</v>
      </c>
      <c r="Q146" s="197">
        <v>33.21</v>
      </c>
    </row>
    <row r="147" spans="1:18" x14ac:dyDescent="0.3">
      <c r="A147" s="131" t="s">
        <v>69</v>
      </c>
      <c r="B147" s="82">
        <v>2007</v>
      </c>
      <c r="C147" s="104"/>
      <c r="D147" s="93"/>
      <c r="E147" s="108"/>
      <c r="F147" s="106"/>
      <c r="G147" s="105"/>
      <c r="H147" s="109"/>
      <c r="I147" s="100"/>
      <c r="J147" s="94"/>
      <c r="K147" s="110"/>
      <c r="L147" s="101"/>
      <c r="M147" s="98"/>
      <c r="N147" s="111"/>
      <c r="O147" s="102"/>
      <c r="P147" s="95"/>
      <c r="Q147" s="112"/>
    </row>
    <row r="148" spans="1:18" x14ac:dyDescent="0.3">
      <c r="A148" s="131" t="s">
        <v>69</v>
      </c>
      <c r="B148" s="16">
        <v>2008</v>
      </c>
      <c r="C148" s="104"/>
      <c r="D148" s="93"/>
      <c r="E148" s="108"/>
      <c r="F148" s="106"/>
      <c r="G148" s="105"/>
      <c r="H148" s="109"/>
      <c r="I148" s="100"/>
      <c r="J148" s="94"/>
      <c r="K148" s="110"/>
      <c r="L148" s="101"/>
      <c r="M148" s="98"/>
      <c r="N148" s="111"/>
      <c r="O148" s="102"/>
      <c r="P148" s="95"/>
      <c r="Q148" s="112"/>
    </row>
    <row r="149" spans="1:18" x14ac:dyDescent="0.3">
      <c r="A149" s="131" t="s">
        <v>69</v>
      </c>
      <c r="B149" s="53">
        <v>2009</v>
      </c>
      <c r="C149" s="104"/>
      <c r="D149" s="93"/>
      <c r="E149" s="108"/>
      <c r="F149" s="106"/>
      <c r="G149" s="105"/>
      <c r="H149" s="109"/>
      <c r="I149" s="100"/>
      <c r="J149" s="94"/>
      <c r="K149" s="110"/>
      <c r="L149" s="101"/>
      <c r="M149" s="98"/>
      <c r="N149" s="111"/>
      <c r="O149" s="102"/>
      <c r="P149" s="95"/>
      <c r="Q149" s="112"/>
    </row>
    <row r="150" spans="1:18" x14ac:dyDescent="0.3">
      <c r="A150" s="131" t="s">
        <v>69</v>
      </c>
      <c r="B150" s="16">
        <v>2010</v>
      </c>
      <c r="C150" s="104"/>
      <c r="D150" s="93"/>
      <c r="E150" s="108"/>
      <c r="F150" s="106"/>
      <c r="G150" s="105"/>
      <c r="H150" s="109"/>
      <c r="I150" s="100"/>
      <c r="J150" s="94"/>
      <c r="K150" s="110"/>
      <c r="L150" s="101"/>
      <c r="M150" s="98"/>
      <c r="N150" s="111"/>
      <c r="O150" s="102"/>
      <c r="P150" s="95"/>
      <c r="Q150" s="112"/>
    </row>
    <row r="151" spans="1:18" x14ac:dyDescent="0.3">
      <c r="A151" s="131" t="s">
        <v>69</v>
      </c>
      <c r="B151" s="53">
        <v>2011</v>
      </c>
      <c r="C151" s="104"/>
      <c r="D151" s="93"/>
      <c r="E151" s="108"/>
      <c r="F151" s="106"/>
      <c r="G151" s="105"/>
      <c r="H151" s="109"/>
      <c r="I151" s="100"/>
      <c r="J151" s="94"/>
      <c r="K151" s="110"/>
      <c r="L151" s="101"/>
      <c r="M151" s="98"/>
      <c r="N151" s="111"/>
      <c r="O151" s="102"/>
      <c r="P151" s="95"/>
      <c r="Q151" s="112"/>
    </row>
    <row r="152" spans="1:18" x14ac:dyDescent="0.3">
      <c r="A152" s="131" t="s">
        <v>69</v>
      </c>
      <c r="B152" s="16">
        <v>2012</v>
      </c>
      <c r="C152" s="104">
        <f>+D152*E152</f>
        <v>0</v>
      </c>
      <c r="D152" s="93"/>
      <c r="E152" s="108"/>
      <c r="F152" s="106">
        <f>+G152*H152</f>
        <v>0</v>
      </c>
      <c r="G152" s="105"/>
      <c r="H152" s="109"/>
      <c r="I152" s="100">
        <f>+J152*K152</f>
        <v>0</v>
      </c>
      <c r="J152" s="94"/>
      <c r="K152" s="110"/>
      <c r="L152" s="101">
        <f t="shared" ref="L152:M155" si="13">+O152-I152-F152-C152</f>
        <v>114.20056</v>
      </c>
      <c r="M152" s="98">
        <f t="shared" si="13"/>
        <v>1.282</v>
      </c>
      <c r="N152" s="111">
        <f>+L152/M152</f>
        <v>89.08</v>
      </c>
      <c r="O152" s="102">
        <f>+P152*Q152</f>
        <v>114.20056</v>
      </c>
      <c r="P152" s="95">
        <v>1.282</v>
      </c>
      <c r="Q152" s="112">
        <v>89.08</v>
      </c>
      <c r="R152" t="s">
        <v>191</v>
      </c>
    </row>
    <row r="153" spans="1:18" x14ac:dyDescent="0.3">
      <c r="A153" s="43" t="s">
        <v>69</v>
      </c>
      <c r="B153" s="53">
        <v>2013</v>
      </c>
      <c r="C153" s="104">
        <f>+D153*E153</f>
        <v>23.404440000000001</v>
      </c>
      <c r="D153" s="96">
        <v>0.26800000000000002</v>
      </c>
      <c r="E153" s="108">
        <v>87.33</v>
      </c>
      <c r="F153" s="106">
        <f>+G153*H153</f>
        <v>26.581099999999999</v>
      </c>
      <c r="G153" s="107">
        <v>0.29899999999999999</v>
      </c>
      <c r="H153" s="109">
        <v>88.9</v>
      </c>
      <c r="I153" s="100">
        <f>+J153*K153</f>
        <v>29.71782</v>
      </c>
      <c r="J153" s="97">
        <v>0.29699999999999999</v>
      </c>
      <c r="K153" s="110">
        <v>100.06</v>
      </c>
      <c r="L153" s="101">
        <f t="shared" si="13"/>
        <v>29.108719999999991</v>
      </c>
      <c r="M153" s="98">
        <f t="shared" si="13"/>
        <v>0.33200000000000007</v>
      </c>
      <c r="N153" s="111">
        <f>+L153/M153</f>
        <v>87.676867469879468</v>
      </c>
      <c r="O153" s="102">
        <f>+P153*Q153</f>
        <v>108.81207999999999</v>
      </c>
      <c r="P153" s="99">
        <v>1.196</v>
      </c>
      <c r="Q153" s="113">
        <v>90.98</v>
      </c>
      <c r="R153" s="117" t="s">
        <v>190</v>
      </c>
    </row>
    <row r="154" spans="1:18" x14ac:dyDescent="0.3">
      <c r="A154" s="43" t="s">
        <v>69</v>
      </c>
      <c r="B154" s="53">
        <v>2014</v>
      </c>
      <c r="C154" s="104">
        <f>+D154*E154</f>
        <v>52.916360000000005</v>
      </c>
      <c r="D154" s="96">
        <v>0.65800000000000003</v>
      </c>
      <c r="E154" s="108">
        <v>80.42</v>
      </c>
      <c r="F154" s="106">
        <f>+G154*H154</f>
        <v>63.938159999999996</v>
      </c>
      <c r="G154" s="107">
        <v>0.75900000000000001</v>
      </c>
      <c r="H154" s="109">
        <v>84.24</v>
      </c>
      <c r="I154" s="100">
        <f>+J154*K154</f>
        <v>75.253860000000003</v>
      </c>
      <c r="J154" s="97">
        <v>0.92700000000000005</v>
      </c>
      <c r="K154" s="110">
        <v>81.180000000000007</v>
      </c>
      <c r="L154" s="101">
        <f t="shared" si="13"/>
        <v>68.577849999999955</v>
      </c>
      <c r="M154" s="98">
        <f t="shared" si="13"/>
        <v>1.0649999999999999</v>
      </c>
      <c r="N154" s="111">
        <f>+L154/M154</f>
        <v>64.392347417840341</v>
      </c>
      <c r="O154" s="102">
        <f>+P154*Q154</f>
        <v>260.68622999999997</v>
      </c>
      <c r="P154" s="99">
        <v>3.4089999999999998</v>
      </c>
      <c r="Q154" s="113">
        <v>76.47</v>
      </c>
    </row>
    <row r="155" spans="1:18" x14ac:dyDescent="0.3">
      <c r="A155" s="41" t="s">
        <v>69</v>
      </c>
      <c r="B155" s="42">
        <v>2015</v>
      </c>
      <c r="C155" s="188">
        <f>+D155*E155</f>
        <v>35.510339999999999</v>
      </c>
      <c r="D155" s="183">
        <v>0.95099999999999996</v>
      </c>
      <c r="E155" s="189">
        <v>37.340000000000003</v>
      </c>
      <c r="F155" s="190">
        <f>+G155*H155</f>
        <v>43.776000000000003</v>
      </c>
      <c r="G155" s="184">
        <v>0.9</v>
      </c>
      <c r="H155" s="191">
        <v>48.64</v>
      </c>
      <c r="I155" s="192">
        <f>+J155*K155</f>
        <v>34.028089999999999</v>
      </c>
      <c r="J155" s="185">
        <v>0.86299999999999999</v>
      </c>
      <c r="K155" s="193">
        <v>39.43</v>
      </c>
      <c r="L155" s="194">
        <f t="shared" si="13"/>
        <v>29.100800000000007</v>
      </c>
      <c r="M155" s="186">
        <f t="shared" si="13"/>
        <v>0.81900000000000006</v>
      </c>
      <c r="N155" s="195">
        <f>+L155/M155</f>
        <v>35.532112332112341</v>
      </c>
      <c r="O155" s="196">
        <f>+P155*Q155</f>
        <v>142.41523000000001</v>
      </c>
      <c r="P155" s="187">
        <v>3.5329999999999999</v>
      </c>
      <c r="Q155" s="197">
        <v>40.31</v>
      </c>
    </row>
  </sheetData>
  <mergeCells count="5">
    <mergeCell ref="C1:E1"/>
    <mergeCell ref="F1:H1"/>
    <mergeCell ref="I1:K1"/>
    <mergeCell ref="L1:N1"/>
    <mergeCell ref="O1:Q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63"/>
  <sheetViews>
    <sheetView workbookViewId="0">
      <pane xSplit="2" ySplit="2" topLeftCell="C69" activePane="bottomRight" state="frozen"/>
      <selection pane="topRight" activeCell="C1" sqref="C1"/>
      <selection pane="bottomLeft" activeCell="A3" sqref="A3"/>
      <selection pane="bottomRight" activeCell="J145" sqref="J145"/>
    </sheetView>
  </sheetViews>
  <sheetFormatPr defaultRowHeight="14.4" x14ac:dyDescent="0.3"/>
  <cols>
    <col min="2" max="11" width="9.33203125" bestFit="1" customWidth="1"/>
    <col min="12" max="12" width="9.33203125" customWidth="1"/>
    <col min="13" max="13" width="9.33203125" bestFit="1" customWidth="1"/>
    <col min="14" max="14" width="9.5546875" bestFit="1" customWidth="1"/>
    <col min="15" max="17" width="9.33203125" bestFit="1" customWidth="1"/>
    <col min="18" max="18" width="18.109375" customWidth="1"/>
    <col min="20" max="23" width="12.109375" customWidth="1"/>
    <col min="24" max="24" width="15.109375" bestFit="1" customWidth="1"/>
    <col min="26" max="26" width="62.109375" bestFit="1" customWidth="1"/>
  </cols>
  <sheetData>
    <row r="1" spans="1:25" x14ac:dyDescent="0.3">
      <c r="C1" s="356" t="s">
        <v>158</v>
      </c>
      <c r="D1" s="356"/>
      <c r="E1" s="357"/>
      <c r="F1" s="358" t="s">
        <v>159</v>
      </c>
      <c r="G1" s="359"/>
      <c r="H1" s="360"/>
      <c r="I1" s="361" t="s">
        <v>160</v>
      </c>
      <c r="J1" s="362"/>
      <c r="K1" s="363"/>
      <c r="L1" s="364" t="s">
        <v>165</v>
      </c>
      <c r="M1" s="365"/>
      <c r="N1" s="366"/>
      <c r="O1" s="367" t="s">
        <v>161</v>
      </c>
      <c r="P1" s="368"/>
      <c r="Q1" s="369"/>
    </row>
    <row r="2" spans="1:25" x14ac:dyDescent="0.3">
      <c r="C2" s="104" t="s">
        <v>200</v>
      </c>
      <c r="D2" s="96" t="s">
        <v>201</v>
      </c>
      <c r="E2" s="108" t="s">
        <v>164</v>
      </c>
      <c r="F2" s="106" t="s">
        <v>200</v>
      </c>
      <c r="G2" s="107" t="s">
        <v>201</v>
      </c>
      <c r="H2" s="109" t="s">
        <v>164</v>
      </c>
      <c r="I2" s="100" t="s">
        <v>200</v>
      </c>
      <c r="J2" s="97" t="s">
        <v>201</v>
      </c>
      <c r="K2" s="110" t="s">
        <v>164</v>
      </c>
      <c r="L2" s="101" t="s">
        <v>200</v>
      </c>
      <c r="M2" s="98" t="s">
        <v>201</v>
      </c>
      <c r="N2" s="129" t="s">
        <v>164</v>
      </c>
      <c r="O2" s="103" t="s">
        <v>200</v>
      </c>
      <c r="P2" s="99" t="s">
        <v>201</v>
      </c>
      <c r="Q2" s="113" t="s">
        <v>164</v>
      </c>
    </row>
    <row r="3" spans="1:25" x14ac:dyDescent="0.3">
      <c r="A3" s="131" t="s">
        <v>21</v>
      </c>
      <c r="B3" s="82">
        <v>2007</v>
      </c>
      <c r="C3" s="104"/>
      <c r="D3" s="93"/>
      <c r="E3" s="108"/>
      <c r="F3" s="106"/>
      <c r="G3" s="105"/>
      <c r="H3" s="109"/>
      <c r="I3" s="100"/>
      <c r="J3" s="94"/>
      <c r="K3" s="110"/>
      <c r="L3" s="101"/>
      <c r="M3" s="98"/>
      <c r="N3" s="111"/>
      <c r="O3" s="102"/>
      <c r="P3" s="95"/>
      <c r="Q3" s="112"/>
    </row>
    <row r="4" spans="1:25" x14ac:dyDescent="0.3">
      <c r="A4" s="131" t="s">
        <v>21</v>
      </c>
      <c r="B4" s="16">
        <v>2008</v>
      </c>
      <c r="C4" s="104"/>
      <c r="D4" s="93"/>
      <c r="E4" s="108"/>
      <c r="F4" s="106"/>
      <c r="G4" s="105"/>
      <c r="H4" s="109"/>
      <c r="I4" s="100"/>
      <c r="J4" s="94"/>
      <c r="K4" s="110"/>
      <c r="L4" s="101"/>
      <c r="M4" s="98"/>
      <c r="N4" s="111"/>
      <c r="O4" s="102"/>
      <c r="P4" s="95"/>
      <c r="Q4" s="112"/>
    </row>
    <row r="5" spans="1:25" x14ac:dyDescent="0.3">
      <c r="A5" s="131" t="s">
        <v>21</v>
      </c>
      <c r="B5" s="53">
        <v>2009</v>
      </c>
      <c r="C5" s="104"/>
      <c r="D5" s="93"/>
      <c r="E5" s="108"/>
      <c r="F5" s="106"/>
      <c r="G5" s="105"/>
      <c r="H5" s="109"/>
      <c r="I5" s="100"/>
      <c r="J5" s="94"/>
      <c r="K5" s="110"/>
      <c r="L5" s="101"/>
      <c r="M5" s="98"/>
      <c r="N5" s="111"/>
      <c r="O5" s="102"/>
      <c r="P5" s="95"/>
      <c r="Q5" s="112"/>
    </row>
    <row r="6" spans="1:25" x14ac:dyDescent="0.3">
      <c r="A6" s="131" t="s">
        <v>21</v>
      </c>
      <c r="B6" s="16">
        <v>2010</v>
      </c>
      <c r="C6" s="104"/>
      <c r="D6" s="93"/>
      <c r="E6" s="108"/>
      <c r="F6" s="106"/>
      <c r="G6" s="105"/>
      <c r="H6" s="109"/>
      <c r="I6" s="100"/>
      <c r="J6" s="94"/>
      <c r="K6" s="110"/>
      <c r="L6" s="101"/>
      <c r="M6" s="98"/>
      <c r="N6" s="111"/>
      <c r="O6" s="102"/>
      <c r="P6" s="95"/>
      <c r="Q6" s="112"/>
    </row>
    <row r="7" spans="1:25" x14ac:dyDescent="0.3">
      <c r="A7" s="131" t="s">
        <v>21</v>
      </c>
      <c r="B7" s="53">
        <v>2011</v>
      </c>
      <c r="C7" s="104"/>
      <c r="D7" s="93"/>
      <c r="E7" s="108"/>
      <c r="F7" s="106"/>
      <c r="G7" s="105"/>
      <c r="H7" s="109"/>
      <c r="I7" s="100"/>
      <c r="J7" s="94"/>
      <c r="K7" s="110"/>
      <c r="L7" s="101"/>
      <c r="M7" s="98"/>
      <c r="N7" s="111"/>
      <c r="O7" s="102"/>
      <c r="P7" s="95"/>
      <c r="Q7" s="112"/>
    </row>
    <row r="8" spans="1:25" x14ac:dyDescent="0.3">
      <c r="A8" s="131" t="s">
        <v>21</v>
      </c>
      <c r="B8" s="16">
        <v>2012</v>
      </c>
      <c r="C8" s="104">
        <f>+D8*E8</f>
        <v>329.63</v>
      </c>
      <c r="D8" s="93">
        <v>7</v>
      </c>
      <c r="E8" s="108">
        <v>47.09</v>
      </c>
      <c r="F8" s="106">
        <f>+G8*H8</f>
        <v>282.87</v>
      </c>
      <c r="G8" s="105">
        <v>7</v>
      </c>
      <c r="H8" s="109">
        <v>40.409999999999997</v>
      </c>
      <c r="I8" s="100">
        <f>+J8*K8</f>
        <v>287.44</v>
      </c>
      <c r="J8" s="94">
        <v>8</v>
      </c>
      <c r="K8" s="110">
        <v>35.93</v>
      </c>
      <c r="L8" s="101">
        <f t="shared" ref="L8:M11" si="0">+O8-I8-F8-C8</f>
        <v>313.25999999999976</v>
      </c>
      <c r="M8" s="98">
        <f t="shared" si="0"/>
        <v>8</v>
      </c>
      <c r="N8" s="111">
        <f>+L8/M8</f>
        <v>39.15749999999997</v>
      </c>
      <c r="O8" s="102">
        <f>+P8*Q8</f>
        <v>1213.1999999999998</v>
      </c>
      <c r="P8" s="95">
        <v>30</v>
      </c>
      <c r="Q8" s="112">
        <v>40.44</v>
      </c>
      <c r="Y8" s="83"/>
    </row>
    <row r="9" spans="1:25" x14ac:dyDescent="0.3">
      <c r="A9" s="43" t="s">
        <v>21</v>
      </c>
      <c r="B9" s="53">
        <v>2013</v>
      </c>
      <c r="C9" s="104">
        <f>+D9*E9</f>
        <v>305.36</v>
      </c>
      <c r="D9" s="96">
        <v>8</v>
      </c>
      <c r="E9" s="108">
        <v>38.17</v>
      </c>
      <c r="F9" s="106">
        <f>+G9*H9</f>
        <v>240.31</v>
      </c>
      <c r="G9" s="107">
        <v>7</v>
      </c>
      <c r="H9" s="109">
        <v>34.33</v>
      </c>
      <c r="I9" s="100">
        <f>+J9*K9</f>
        <v>346.41</v>
      </c>
      <c r="J9" s="97">
        <v>9</v>
      </c>
      <c r="K9" s="110">
        <v>38.49</v>
      </c>
      <c r="L9" s="101">
        <f t="shared" si="0"/>
        <v>360.92999999999995</v>
      </c>
      <c r="M9" s="98">
        <f t="shared" si="0"/>
        <v>9</v>
      </c>
      <c r="N9" s="111">
        <f>+L9/M9</f>
        <v>40.103333333333325</v>
      </c>
      <c r="O9" s="102">
        <f>+P9*Q9</f>
        <v>1253.01</v>
      </c>
      <c r="P9" s="99">
        <v>33</v>
      </c>
      <c r="Q9" s="113">
        <v>37.97</v>
      </c>
      <c r="Y9" s="83"/>
    </row>
    <row r="10" spans="1:25" x14ac:dyDescent="0.3">
      <c r="A10" s="43" t="s">
        <v>21</v>
      </c>
      <c r="B10" s="53">
        <v>2014</v>
      </c>
      <c r="C10" s="104">
        <f>+D10*E10</f>
        <v>390.15000000000003</v>
      </c>
      <c r="D10" s="96">
        <v>9</v>
      </c>
      <c r="E10" s="108">
        <v>43.35</v>
      </c>
      <c r="F10" s="106">
        <f>+G10*H10</f>
        <v>411.29</v>
      </c>
      <c r="G10" s="107">
        <v>11</v>
      </c>
      <c r="H10" s="109">
        <v>37.39</v>
      </c>
      <c r="I10" s="100">
        <f>+J10*K10</f>
        <v>386.21</v>
      </c>
      <c r="J10" s="97">
        <v>11</v>
      </c>
      <c r="K10" s="110">
        <v>35.11</v>
      </c>
      <c r="L10" s="101">
        <f t="shared" si="0"/>
        <v>373.46999999999986</v>
      </c>
      <c r="M10" s="98">
        <f t="shared" si="0"/>
        <v>13</v>
      </c>
      <c r="N10" s="111">
        <f>+L10/M10</f>
        <v>28.728461538461527</v>
      </c>
      <c r="O10" s="102">
        <f>+P10*Q10</f>
        <v>1561.12</v>
      </c>
      <c r="P10" s="99">
        <v>44</v>
      </c>
      <c r="Q10" s="113">
        <v>35.479999999999997</v>
      </c>
      <c r="R10" s="117" t="s">
        <v>70</v>
      </c>
      <c r="Y10" s="83"/>
    </row>
    <row r="11" spans="1:25" x14ac:dyDescent="0.3">
      <c r="A11" s="41" t="s">
        <v>21</v>
      </c>
      <c r="B11" s="42">
        <v>2015</v>
      </c>
      <c r="C11" s="188">
        <f>+D11*E11</f>
        <v>207.48</v>
      </c>
      <c r="D11" s="183">
        <v>12</v>
      </c>
      <c r="E11" s="189">
        <v>17.29</v>
      </c>
      <c r="F11" s="190">
        <f>+G11*H11</f>
        <v>215.76</v>
      </c>
      <c r="G11" s="184">
        <v>12</v>
      </c>
      <c r="H11" s="191">
        <v>17.98</v>
      </c>
      <c r="I11" s="192">
        <f>+J11*K11</f>
        <v>174.13</v>
      </c>
      <c r="J11" s="185">
        <v>11</v>
      </c>
      <c r="K11" s="193">
        <v>15.83</v>
      </c>
      <c r="L11" s="194">
        <f t="shared" si="0"/>
        <v>168.98000000000005</v>
      </c>
      <c r="M11" s="186">
        <f t="shared" si="0"/>
        <v>10</v>
      </c>
      <c r="N11" s="195">
        <f>+L11/M11</f>
        <v>16.898000000000003</v>
      </c>
      <c r="O11" s="196">
        <f>+P11*Q11</f>
        <v>766.35</v>
      </c>
      <c r="P11" s="187">
        <v>45</v>
      </c>
      <c r="Q11" s="197">
        <v>17.03</v>
      </c>
      <c r="R11" s="117"/>
      <c r="Y11" s="83"/>
    </row>
    <row r="12" spans="1:25" ht="15" thickBot="1" x14ac:dyDescent="0.35">
      <c r="A12" s="131" t="s">
        <v>27</v>
      </c>
      <c r="B12" s="82">
        <v>2007</v>
      </c>
      <c r="C12" s="104"/>
      <c r="D12" s="93"/>
      <c r="E12" s="108"/>
      <c r="F12" s="106"/>
      <c r="G12" s="105"/>
      <c r="H12" s="109"/>
      <c r="I12" s="100"/>
      <c r="J12" s="94"/>
      <c r="K12" s="110"/>
      <c r="L12" s="101"/>
      <c r="M12" s="98"/>
      <c r="N12" s="111"/>
      <c r="O12" s="102"/>
      <c r="P12" s="95"/>
      <c r="Q12" s="112"/>
      <c r="S12" s="117"/>
      <c r="U12" s="119"/>
      <c r="X12" s="59"/>
    </row>
    <row r="13" spans="1:25" x14ac:dyDescent="0.3">
      <c r="A13" s="131" t="s">
        <v>27</v>
      </c>
      <c r="B13" s="16">
        <v>2008</v>
      </c>
      <c r="C13" s="104"/>
      <c r="D13" s="93"/>
      <c r="E13" s="108"/>
      <c r="F13" s="106"/>
      <c r="G13" s="105"/>
      <c r="H13" s="109"/>
      <c r="I13" s="100"/>
      <c r="J13" s="94"/>
      <c r="K13" s="110"/>
      <c r="L13" s="101"/>
      <c r="M13" s="98"/>
      <c r="N13" s="111"/>
      <c r="O13" s="102"/>
      <c r="P13" s="95"/>
      <c r="Q13" s="112"/>
      <c r="S13" s="124"/>
      <c r="T13" s="126" t="s">
        <v>169</v>
      </c>
      <c r="U13" s="126" t="s">
        <v>170</v>
      </c>
      <c r="V13" s="126" t="s">
        <v>171</v>
      </c>
      <c r="W13" s="127" t="s">
        <v>172</v>
      </c>
      <c r="X13" s="128" t="s">
        <v>173</v>
      </c>
    </row>
    <row r="14" spans="1:25" x14ac:dyDescent="0.3">
      <c r="A14" s="131" t="s">
        <v>27</v>
      </c>
      <c r="B14" s="53">
        <v>2009</v>
      </c>
      <c r="C14" s="104"/>
      <c r="D14" s="93"/>
      <c r="E14" s="108"/>
      <c r="F14" s="106"/>
      <c r="G14" s="105"/>
      <c r="H14" s="109"/>
      <c r="I14" s="100"/>
      <c r="J14" s="94"/>
      <c r="K14" s="110"/>
      <c r="L14" s="101"/>
      <c r="M14" s="98"/>
      <c r="N14" s="111"/>
      <c r="O14" s="102"/>
      <c r="P14" s="95"/>
      <c r="Q14" s="112"/>
      <c r="S14" s="125">
        <v>2012</v>
      </c>
      <c r="T14" s="120">
        <f>AVERAGE(E17,E35,E80,E134,E143,E152)</f>
        <v>26.218333333333334</v>
      </c>
      <c r="U14" s="120">
        <f>AVERAGE(H17,H35,H80,H134,H143,H152)</f>
        <v>22.108333333333334</v>
      </c>
      <c r="V14" s="120">
        <f>AVERAGE(K17,K35,K80,K134,K143,K152)</f>
        <v>20.858333333333334</v>
      </c>
      <c r="W14" s="120">
        <f>AVERAGE(N17,N35,N80,N134,N143,N152)</f>
        <v>20.680601151803923</v>
      </c>
      <c r="X14" s="121">
        <f>AVERAGE(Q17,Q35,Q80,Q134,Q143,Q152)</f>
        <v>22.175000000000001</v>
      </c>
    </row>
    <row r="15" spans="1:25" x14ac:dyDescent="0.3">
      <c r="A15" s="131" t="s">
        <v>27</v>
      </c>
      <c r="B15" s="16">
        <v>2010</v>
      </c>
      <c r="C15" s="104"/>
      <c r="D15" s="93"/>
      <c r="E15" s="108"/>
      <c r="F15" s="106"/>
      <c r="G15" s="105"/>
      <c r="H15" s="109"/>
      <c r="I15" s="100"/>
      <c r="J15" s="94"/>
      <c r="K15" s="110"/>
      <c r="L15" s="101"/>
      <c r="M15" s="98"/>
      <c r="N15" s="111"/>
      <c r="O15" s="102"/>
      <c r="P15" s="95"/>
      <c r="Q15" s="112"/>
      <c r="S15" s="125">
        <v>2013</v>
      </c>
      <c r="T15" s="120">
        <f>AVERAGE(E18,E36,E81,E135,E144,E153)</f>
        <v>27.493333333333329</v>
      </c>
      <c r="U15" s="120">
        <f>AVERAGE(H18,H36,H81,H135,H144,H153)</f>
        <v>24.268333333333331</v>
      </c>
      <c r="V15" s="120">
        <f>AVERAGE(K18,K36,K81,K135,K144,K153)</f>
        <v>25.691666666666663</v>
      </c>
      <c r="W15" s="120">
        <f>AVERAGE(N18,N36,N81,N135,N144,N153)</f>
        <v>27.472405656871263</v>
      </c>
      <c r="X15" s="121">
        <f>AVERAGE(Q18,Q36,Q81,Q135,Q144,Q153)</f>
        <v>26.473333333333333</v>
      </c>
    </row>
    <row r="16" spans="1:25" ht="15" thickBot="1" x14ac:dyDescent="0.35">
      <c r="A16" s="131" t="s">
        <v>27</v>
      </c>
      <c r="B16" s="53">
        <v>2011</v>
      </c>
      <c r="C16" s="104"/>
      <c r="D16" s="93"/>
      <c r="E16" s="108"/>
      <c r="F16" s="106"/>
      <c r="G16" s="105"/>
      <c r="H16" s="109"/>
      <c r="I16" s="100"/>
      <c r="J16" s="94"/>
      <c r="K16" s="110"/>
      <c r="L16" s="101"/>
      <c r="M16" s="98"/>
      <c r="N16" s="111"/>
      <c r="O16" s="102"/>
      <c r="P16" s="95"/>
      <c r="Q16" s="112"/>
      <c r="S16" s="118">
        <v>2014</v>
      </c>
      <c r="T16" s="122">
        <f>AVERAGE(E19,E37,E82,E136,E145,E154)</f>
        <v>27.78</v>
      </c>
      <c r="U16" s="122">
        <f>AVERAGE(H19,H37,H82,H136,H145,H154)</f>
        <v>22.556666666666668</v>
      </c>
      <c r="V16" s="122">
        <f>AVERAGE(K19,K37,K82,K136,K145,K154)</f>
        <v>22.224999999999998</v>
      </c>
      <c r="W16" s="122">
        <f>AVERAGE(N19,N37,N82,N136,N145,N154)</f>
        <v>20.799023998521683</v>
      </c>
      <c r="X16" s="123">
        <f>AVERAGE(Q19,Q37,Q82,Q136,Q145,Q154)</f>
        <v>20.243333333333332</v>
      </c>
    </row>
    <row r="17" spans="1:26" x14ac:dyDescent="0.3">
      <c r="A17" s="131" t="s">
        <v>27</v>
      </c>
      <c r="B17" s="16">
        <v>2012</v>
      </c>
      <c r="C17" s="104">
        <f>+D17*E17</f>
        <v>88.604906137499995</v>
      </c>
      <c r="D17" s="93">
        <f>0.022317*91.25</f>
        <v>2.0364262499999999</v>
      </c>
      <c r="E17" s="108">
        <v>43.51</v>
      </c>
      <c r="F17" s="106">
        <f>+G17*H17</f>
        <v>89.301661937500015</v>
      </c>
      <c r="G17" s="105">
        <f>0.029665*91.25</f>
        <v>2.7069312500000002</v>
      </c>
      <c r="H17" s="109">
        <v>32.99</v>
      </c>
      <c r="I17" s="100">
        <f>+J17*K17</f>
        <v>100.73060124999999</v>
      </c>
      <c r="J17" s="94">
        <f>0.039076*91.25</f>
        <v>3.5656849999999998</v>
      </c>
      <c r="K17" s="110">
        <v>28.25</v>
      </c>
      <c r="L17" s="101">
        <f t="shared" ref="L17:M19" si="1">+O17-I17-F17-C17</f>
        <v>117.29983067500001</v>
      </c>
      <c r="M17" s="98">
        <f t="shared" si="1"/>
        <v>3.9909575000000004</v>
      </c>
      <c r="N17" s="111">
        <f>+L17/M17</f>
        <v>29.391400603739829</v>
      </c>
      <c r="O17" s="102">
        <f>+P17*Q17</f>
        <v>395.93700000000001</v>
      </c>
      <c r="P17" s="95">
        <v>12.3</v>
      </c>
      <c r="Q17" s="112">
        <v>32.19</v>
      </c>
      <c r="S17" s="117"/>
      <c r="Z17" s="135" t="s">
        <v>188</v>
      </c>
    </row>
    <row r="18" spans="1:26" x14ac:dyDescent="0.3">
      <c r="A18" s="43" t="s">
        <v>27</v>
      </c>
      <c r="B18" s="53">
        <v>2013</v>
      </c>
      <c r="C18" s="104">
        <f>+D18*E18</f>
        <v>121.2804699</v>
      </c>
      <c r="D18" s="96">
        <f>0.049299*91.25</f>
        <v>4.49853375</v>
      </c>
      <c r="E18" s="108">
        <v>26.96</v>
      </c>
      <c r="F18" s="106">
        <f>+G18*H18</f>
        <v>127.26275055000001</v>
      </c>
      <c r="G18" s="107">
        <f>0.057018*91.25</f>
        <v>5.2028924999999999</v>
      </c>
      <c r="H18" s="109">
        <v>24.46</v>
      </c>
      <c r="I18" s="100">
        <f>+J18*K18</f>
        <v>148.24999687499999</v>
      </c>
      <c r="J18" s="97">
        <f>0.05751*91.25</f>
        <v>5.2477875000000003</v>
      </c>
      <c r="K18" s="110">
        <v>28.25</v>
      </c>
      <c r="L18" s="101">
        <f t="shared" si="1"/>
        <v>146.27778267499991</v>
      </c>
      <c r="M18" s="98">
        <f t="shared" si="1"/>
        <v>4.9507862499999966</v>
      </c>
      <c r="N18" s="111">
        <f>+L18/M18</f>
        <v>29.54637410875899</v>
      </c>
      <c r="O18" s="102">
        <f>+P18*Q18</f>
        <v>543.07099999999991</v>
      </c>
      <c r="P18" s="99">
        <v>19.899999999999999</v>
      </c>
      <c r="Q18" s="113">
        <v>27.29</v>
      </c>
      <c r="S18" s="117"/>
      <c r="T18" s="135" t="s">
        <v>21</v>
      </c>
      <c r="U18" s="135" t="s">
        <v>40</v>
      </c>
      <c r="V18" s="135" t="s">
        <v>51</v>
      </c>
      <c r="W18" s="137" t="s">
        <v>63</v>
      </c>
      <c r="Z18" s="137" t="s">
        <v>180</v>
      </c>
    </row>
    <row r="19" spans="1:26" x14ac:dyDescent="0.3">
      <c r="A19" s="43" t="s">
        <v>27</v>
      </c>
      <c r="B19" s="53">
        <v>2014</v>
      </c>
      <c r="C19" s="104">
        <f>+D19*E19</f>
        <v>149.57660367</v>
      </c>
      <c r="D19" s="96">
        <f>0.053058*91.5</f>
        <v>4.8548070000000001</v>
      </c>
      <c r="E19" s="108">
        <v>30.81</v>
      </c>
      <c r="F19" s="106">
        <f>+G19*H19</f>
        <v>139.81986562500001</v>
      </c>
      <c r="G19" s="107">
        <f>0.056625*91.25</f>
        <v>5.16703125</v>
      </c>
      <c r="H19" s="109">
        <v>27.06</v>
      </c>
      <c r="I19" s="100">
        <f>+J19*K19</f>
        <v>148.60789579999999</v>
      </c>
      <c r="J19" s="97">
        <f>0.061712*91.25</f>
        <v>5.6312199999999999</v>
      </c>
      <c r="K19" s="110">
        <v>26.39</v>
      </c>
      <c r="L19" s="101">
        <f t="shared" si="1"/>
        <v>111.75063490500003</v>
      </c>
      <c r="M19" s="98">
        <f t="shared" si="1"/>
        <v>5.84694175</v>
      </c>
      <c r="N19" s="111">
        <f>+L19/M19</f>
        <v>19.112664309508475</v>
      </c>
      <c r="O19" s="102">
        <f>+P19*Q19</f>
        <v>549.755</v>
      </c>
      <c r="P19" s="99">
        <v>21.5</v>
      </c>
      <c r="Q19" s="113">
        <v>25.57</v>
      </c>
      <c r="S19" s="117"/>
      <c r="T19" s="137" t="s">
        <v>27</v>
      </c>
      <c r="U19" s="136" t="s">
        <v>42</v>
      </c>
      <c r="V19" s="135" t="s">
        <v>54</v>
      </c>
      <c r="W19" s="135" t="s">
        <v>67</v>
      </c>
      <c r="Z19" s="136" t="s">
        <v>179</v>
      </c>
    </row>
    <row r="20" spans="1:26" x14ac:dyDescent="0.3">
      <c r="A20" s="41" t="s">
        <v>27</v>
      </c>
      <c r="B20" s="42">
        <v>2015</v>
      </c>
      <c r="C20" s="188">
        <f>+D20*E20</f>
        <v>47.398078750000003</v>
      </c>
      <c r="D20" s="183">
        <f>0.047221*91.25</f>
        <v>4.3089162500000002</v>
      </c>
      <c r="E20" s="189">
        <v>11</v>
      </c>
      <c r="F20" s="190">
        <f>+G20*H20</f>
        <v>50.687900399999997</v>
      </c>
      <c r="G20" s="184">
        <f>0.054944*91.25</f>
        <v>5.0136399999999997</v>
      </c>
      <c r="H20" s="191">
        <v>10.11</v>
      </c>
      <c r="I20" s="192">
        <f>+J20*K20</f>
        <v>41.117085749999994</v>
      </c>
      <c r="J20" s="185">
        <f>0.054951*91.25</f>
        <v>5.0142787499999999</v>
      </c>
      <c r="K20" s="193">
        <v>8.1999999999999993</v>
      </c>
      <c r="L20" s="194">
        <f>+O20-I20-F20-C20</f>
        <v>52.280935100000015</v>
      </c>
      <c r="M20" s="186">
        <f>+P20-J20-G20-D20</f>
        <v>5.3631650000000013</v>
      </c>
      <c r="N20" s="195">
        <f>+L20/M20</f>
        <v>9.7481496653561841</v>
      </c>
      <c r="O20" s="196">
        <f>+P20*Q20</f>
        <v>191.48400000000001</v>
      </c>
      <c r="P20" s="187">
        <v>19.7</v>
      </c>
      <c r="Q20" s="197">
        <v>9.7200000000000006</v>
      </c>
      <c r="S20" s="117"/>
      <c r="T20" s="135" t="s">
        <v>31</v>
      </c>
      <c r="U20" s="137" t="s">
        <v>44</v>
      </c>
      <c r="V20" s="135" t="s">
        <v>56</v>
      </c>
      <c r="W20" s="135" t="s">
        <v>69</v>
      </c>
    </row>
    <row r="21" spans="1:26" x14ac:dyDescent="0.3">
      <c r="A21" s="131" t="s">
        <v>31</v>
      </c>
      <c r="B21" s="82">
        <v>2007</v>
      </c>
      <c r="C21" s="104"/>
      <c r="D21" s="93"/>
      <c r="E21" s="108"/>
      <c r="F21" s="106"/>
      <c r="G21" s="105"/>
      <c r="H21" s="109"/>
      <c r="I21" s="100"/>
      <c r="J21" s="94"/>
      <c r="K21" s="110"/>
      <c r="L21" s="101"/>
      <c r="M21" s="98"/>
      <c r="N21" s="111"/>
      <c r="O21" s="102"/>
      <c r="P21" s="95"/>
      <c r="Q21" s="112"/>
      <c r="T21" s="137" t="s">
        <v>36</v>
      </c>
      <c r="U21" s="135" t="s">
        <v>48</v>
      </c>
      <c r="V21" s="135" t="s">
        <v>59</v>
      </c>
    </row>
    <row r="22" spans="1:26" x14ac:dyDescent="0.3">
      <c r="A22" s="131" t="s">
        <v>31</v>
      </c>
      <c r="B22" s="16">
        <v>2008</v>
      </c>
      <c r="C22" s="104"/>
      <c r="D22" s="93"/>
      <c r="E22" s="108"/>
      <c r="F22" s="106"/>
      <c r="G22" s="105"/>
      <c r="H22" s="109"/>
      <c r="I22" s="100"/>
      <c r="J22" s="94"/>
      <c r="K22" s="110"/>
      <c r="L22" s="101"/>
      <c r="M22" s="98"/>
      <c r="N22" s="111"/>
      <c r="O22" s="102"/>
      <c r="P22" s="95"/>
      <c r="Q22" s="112"/>
    </row>
    <row r="23" spans="1:26" x14ac:dyDescent="0.3">
      <c r="A23" s="131" t="s">
        <v>31</v>
      </c>
      <c r="B23" s="53">
        <v>2009</v>
      </c>
      <c r="C23" s="104"/>
      <c r="D23" s="93"/>
      <c r="E23" s="108"/>
      <c r="F23" s="106"/>
      <c r="G23" s="105"/>
      <c r="H23" s="109"/>
      <c r="I23" s="100"/>
      <c r="J23" s="94"/>
      <c r="K23" s="110"/>
      <c r="L23" s="101"/>
      <c r="M23" s="98"/>
      <c r="N23" s="111"/>
      <c r="O23" s="102"/>
      <c r="P23" s="95"/>
      <c r="Q23" s="112"/>
    </row>
    <row r="24" spans="1:26" x14ac:dyDescent="0.3">
      <c r="A24" s="131" t="s">
        <v>31</v>
      </c>
      <c r="B24" s="16">
        <v>2010</v>
      </c>
      <c r="C24" s="104"/>
      <c r="D24" s="93"/>
      <c r="E24" s="108"/>
      <c r="F24" s="106"/>
      <c r="G24" s="105"/>
      <c r="H24" s="109"/>
      <c r="I24" s="100"/>
      <c r="J24" s="94"/>
      <c r="K24" s="110"/>
      <c r="L24" s="101"/>
      <c r="M24" s="98"/>
      <c r="N24" s="111"/>
      <c r="O24" s="102"/>
      <c r="P24" s="95"/>
      <c r="Q24" s="112"/>
    </row>
    <row r="25" spans="1:26" x14ac:dyDescent="0.3">
      <c r="A25" s="131" t="s">
        <v>31</v>
      </c>
      <c r="B25" s="53">
        <v>2011</v>
      </c>
      <c r="C25" s="104"/>
      <c r="D25" s="93"/>
      <c r="E25" s="108"/>
      <c r="F25" s="106"/>
      <c r="G25" s="105"/>
      <c r="H25" s="109"/>
      <c r="I25" s="100"/>
      <c r="J25" s="94"/>
      <c r="K25" s="110"/>
      <c r="L25" s="101"/>
      <c r="M25" s="98"/>
      <c r="N25" s="111"/>
      <c r="O25" s="102"/>
      <c r="P25" s="95"/>
      <c r="Q25" s="112"/>
    </row>
    <row r="26" spans="1:26" x14ac:dyDescent="0.3">
      <c r="A26" s="131" t="s">
        <v>31</v>
      </c>
      <c r="B26" s="16">
        <v>2012</v>
      </c>
      <c r="C26" s="104"/>
      <c r="D26" s="93"/>
      <c r="E26" s="108"/>
      <c r="F26" s="106"/>
      <c r="G26" s="105"/>
      <c r="H26" s="109"/>
      <c r="I26" s="100"/>
      <c r="J26" s="94"/>
      <c r="K26" s="110"/>
      <c r="L26" s="101"/>
      <c r="M26" s="98"/>
      <c r="N26" s="111"/>
      <c r="O26" s="102"/>
      <c r="P26" s="95"/>
      <c r="Q26" s="112"/>
      <c r="R26" s="135"/>
    </row>
    <row r="27" spans="1:26" x14ac:dyDescent="0.3">
      <c r="A27" s="43" t="s">
        <v>31</v>
      </c>
      <c r="B27" s="53">
        <v>2013</v>
      </c>
      <c r="C27" s="104"/>
      <c r="D27" s="96"/>
      <c r="E27" s="108"/>
      <c r="F27" s="106"/>
      <c r="G27" s="107"/>
      <c r="H27" s="109"/>
      <c r="I27" s="100"/>
      <c r="J27" s="97"/>
      <c r="K27" s="110"/>
      <c r="L27" s="101"/>
      <c r="M27" s="98"/>
      <c r="N27" s="111"/>
      <c r="O27" s="102"/>
      <c r="P27" s="99"/>
      <c r="Q27" s="113"/>
      <c r="R27" s="135"/>
    </row>
    <row r="28" spans="1:26" x14ac:dyDescent="0.3">
      <c r="A28" s="43" t="s">
        <v>31</v>
      </c>
      <c r="B28" s="53">
        <v>2014</v>
      </c>
      <c r="C28" s="104"/>
      <c r="D28" s="96"/>
      <c r="E28" s="108"/>
      <c r="F28" s="106"/>
      <c r="G28" s="107"/>
      <c r="H28" s="109"/>
      <c r="I28" s="100"/>
      <c r="J28" s="97"/>
      <c r="K28" s="110"/>
      <c r="L28" s="101"/>
      <c r="M28" s="98"/>
      <c r="N28" s="111"/>
      <c r="O28" s="102"/>
      <c r="P28" s="99"/>
      <c r="Q28" s="113"/>
      <c r="R28" s="135" t="s">
        <v>176</v>
      </c>
    </row>
    <row r="29" spans="1:26" x14ac:dyDescent="0.3">
      <c r="A29" s="41" t="s">
        <v>31</v>
      </c>
      <c r="B29" s="42">
        <v>2015</v>
      </c>
      <c r="C29" s="188"/>
      <c r="D29" s="183"/>
      <c r="E29" s="189"/>
      <c r="F29" s="190"/>
      <c r="G29" s="184"/>
      <c r="H29" s="191"/>
      <c r="I29" s="192"/>
      <c r="J29" s="185"/>
      <c r="K29" s="193"/>
      <c r="L29" s="194"/>
      <c r="M29" s="186"/>
      <c r="N29" s="195"/>
      <c r="O29" s="196"/>
      <c r="P29" s="187"/>
      <c r="Q29" s="197"/>
      <c r="R29" s="135"/>
    </row>
    <row r="30" spans="1:26" x14ac:dyDescent="0.3">
      <c r="A30" s="131" t="s">
        <v>36</v>
      </c>
      <c r="B30" s="82">
        <v>2007</v>
      </c>
      <c r="C30" s="104"/>
      <c r="D30" s="93"/>
      <c r="E30" s="108"/>
      <c r="F30" s="106"/>
      <c r="G30" s="105"/>
      <c r="H30" s="109"/>
      <c r="I30" s="100"/>
      <c r="J30" s="94"/>
      <c r="K30" s="110"/>
      <c r="L30" s="101"/>
      <c r="M30" s="98"/>
      <c r="N30" s="111"/>
      <c r="O30" s="102"/>
      <c r="P30" s="95"/>
      <c r="Q30" s="112"/>
    </row>
    <row r="31" spans="1:26" x14ac:dyDescent="0.3">
      <c r="A31" s="131" t="s">
        <v>36</v>
      </c>
      <c r="B31" s="16">
        <v>2008</v>
      </c>
      <c r="C31" s="104"/>
      <c r="D31" s="93"/>
      <c r="E31" s="108"/>
      <c r="F31" s="106"/>
      <c r="G31" s="105"/>
      <c r="H31" s="109"/>
      <c r="I31" s="100"/>
      <c r="J31" s="94"/>
      <c r="K31" s="110"/>
      <c r="L31" s="101"/>
      <c r="M31" s="98"/>
      <c r="N31" s="111"/>
      <c r="O31" s="102"/>
      <c r="P31" s="95"/>
      <c r="Q31" s="112"/>
    </row>
    <row r="32" spans="1:26" x14ac:dyDescent="0.3">
      <c r="A32" s="131" t="s">
        <v>36</v>
      </c>
      <c r="B32" s="53">
        <v>2009</v>
      </c>
      <c r="C32" s="104"/>
      <c r="D32" s="93"/>
      <c r="E32" s="108"/>
      <c r="F32" s="106"/>
      <c r="G32" s="105"/>
      <c r="H32" s="109"/>
      <c r="I32" s="100"/>
      <c r="J32" s="94"/>
      <c r="K32" s="110"/>
      <c r="L32" s="101"/>
      <c r="M32" s="98"/>
      <c r="N32" s="111"/>
      <c r="O32" s="102"/>
      <c r="P32" s="95"/>
      <c r="Q32" s="112"/>
    </row>
    <row r="33" spans="1:26" x14ac:dyDescent="0.3">
      <c r="A33" s="131" t="s">
        <v>36</v>
      </c>
      <c r="B33" s="16">
        <v>2010</v>
      </c>
      <c r="C33" s="104"/>
      <c r="D33" s="93"/>
      <c r="E33" s="108"/>
      <c r="F33" s="106"/>
      <c r="G33" s="105"/>
      <c r="H33" s="109"/>
      <c r="I33" s="100"/>
      <c r="J33" s="94"/>
      <c r="K33" s="110"/>
      <c r="L33" s="101"/>
      <c r="M33" s="98"/>
      <c r="N33" s="111"/>
      <c r="O33" s="102"/>
      <c r="P33" s="95"/>
      <c r="Q33" s="112"/>
    </row>
    <row r="34" spans="1:26" x14ac:dyDescent="0.3">
      <c r="A34" s="131" t="s">
        <v>36</v>
      </c>
      <c r="B34" s="53">
        <v>2011</v>
      </c>
      <c r="C34" s="104"/>
      <c r="D34" s="93"/>
      <c r="E34" s="108"/>
      <c r="F34" s="106"/>
      <c r="G34" s="105"/>
      <c r="H34" s="109"/>
      <c r="I34" s="100"/>
      <c r="J34" s="94"/>
      <c r="K34" s="110"/>
      <c r="L34" s="101"/>
      <c r="M34" s="98"/>
      <c r="N34" s="111"/>
      <c r="O34" s="102"/>
      <c r="P34" s="95"/>
      <c r="Q34" s="112"/>
    </row>
    <row r="35" spans="1:26" x14ac:dyDescent="0.3">
      <c r="A35" s="131" t="s">
        <v>36</v>
      </c>
      <c r="B35" s="16">
        <v>2012</v>
      </c>
      <c r="C35" s="104">
        <f>+D35*E35</f>
        <v>144.47999999999999</v>
      </c>
      <c r="D35" s="93">
        <v>4.3</v>
      </c>
      <c r="E35" s="108">
        <v>33.6</v>
      </c>
      <c r="F35" s="106">
        <f>+G35*H35</f>
        <v>116.73</v>
      </c>
      <c r="G35" s="105">
        <v>4.5</v>
      </c>
      <c r="H35" s="109">
        <v>25.94</v>
      </c>
      <c r="I35" s="100">
        <f>+J35*K35</f>
        <v>128.00199999999998</v>
      </c>
      <c r="J35" s="94">
        <v>4.0999999999999996</v>
      </c>
      <c r="K35" s="110">
        <v>31.22</v>
      </c>
      <c r="L35" s="101">
        <f t="shared" ref="L35:M37" si="2">+O35-I35-F35-C35</f>
        <v>139.44800000000001</v>
      </c>
      <c r="M35" s="98">
        <f t="shared" si="2"/>
        <v>5.1000000000000005</v>
      </c>
      <c r="N35" s="111">
        <f>+L35/M35</f>
        <v>27.342745098039213</v>
      </c>
      <c r="O35" s="102">
        <f>+P35*Q35</f>
        <v>528.66</v>
      </c>
      <c r="P35" s="95">
        <v>18</v>
      </c>
      <c r="Q35" s="112">
        <v>29.37</v>
      </c>
    </row>
    <row r="36" spans="1:26" x14ac:dyDescent="0.3">
      <c r="A36" s="43" t="s">
        <v>36</v>
      </c>
      <c r="B36" s="53">
        <v>2013</v>
      </c>
      <c r="C36" s="104">
        <f>+D36*E36</f>
        <v>138.42500000000001</v>
      </c>
      <c r="D36" s="96">
        <v>4.9000000000000004</v>
      </c>
      <c r="E36" s="108">
        <v>28.25</v>
      </c>
      <c r="F36" s="106">
        <f>+G36*H36</f>
        <v>116.25599999999999</v>
      </c>
      <c r="G36" s="107">
        <v>4.8</v>
      </c>
      <c r="H36" s="109">
        <v>24.22</v>
      </c>
      <c r="I36" s="100">
        <f>+J36*K36</f>
        <v>143.208</v>
      </c>
      <c r="J36" s="97">
        <v>5.4</v>
      </c>
      <c r="K36" s="110">
        <v>26.52</v>
      </c>
      <c r="L36" s="101">
        <f t="shared" si="2"/>
        <v>187.38100000000003</v>
      </c>
      <c r="M36" s="98">
        <f t="shared" si="2"/>
        <v>5.9</v>
      </c>
      <c r="N36" s="111">
        <f>+L36/M36</f>
        <v>31.75949152542373</v>
      </c>
      <c r="O36" s="102">
        <f>+P36*Q36</f>
        <v>585.27</v>
      </c>
      <c r="P36" s="99">
        <v>21</v>
      </c>
      <c r="Q36" s="113">
        <v>27.87</v>
      </c>
    </row>
    <row r="37" spans="1:26" x14ac:dyDescent="0.3">
      <c r="A37" s="43" t="s">
        <v>36</v>
      </c>
      <c r="B37" s="53">
        <v>2014</v>
      </c>
      <c r="C37" s="104">
        <f>+D37*E37</f>
        <v>222.148</v>
      </c>
      <c r="D37" s="96">
        <v>7.6</v>
      </c>
      <c r="E37" s="108">
        <v>29.23</v>
      </c>
      <c r="F37" s="106">
        <f>+G37*H37</f>
        <v>161.93100000000001</v>
      </c>
      <c r="G37" s="107">
        <v>7.7</v>
      </c>
      <c r="H37" s="109">
        <v>21.03</v>
      </c>
      <c r="I37" s="100">
        <f>+J37*K37</f>
        <v>201.96</v>
      </c>
      <c r="J37" s="97">
        <v>8.8000000000000007</v>
      </c>
      <c r="K37" s="110">
        <v>22.95</v>
      </c>
      <c r="L37" s="101">
        <f t="shared" si="2"/>
        <v>435.31099999999992</v>
      </c>
      <c r="M37" s="98">
        <f t="shared" si="2"/>
        <v>8.9</v>
      </c>
      <c r="N37" s="111">
        <f>+L37/M37</f>
        <v>48.911348314606734</v>
      </c>
      <c r="O37" s="102">
        <f>+P37*Q37</f>
        <v>1021.35</v>
      </c>
      <c r="P37" s="99">
        <v>33</v>
      </c>
      <c r="Q37" s="113">
        <v>30.95</v>
      </c>
    </row>
    <row r="38" spans="1:26" x14ac:dyDescent="0.3">
      <c r="A38" s="41" t="s">
        <v>36</v>
      </c>
      <c r="B38" s="42">
        <v>2015</v>
      </c>
      <c r="C38" s="188">
        <f>+D38*E38</f>
        <v>47.532000000000004</v>
      </c>
      <c r="D38" s="183">
        <v>6.8</v>
      </c>
      <c r="E38" s="189">
        <v>6.99</v>
      </c>
      <c r="F38" s="190">
        <f>+G38*H38</f>
        <v>13.68</v>
      </c>
      <c r="G38" s="184">
        <v>7.2</v>
      </c>
      <c r="H38" s="191">
        <v>1.9</v>
      </c>
      <c r="I38" s="192">
        <f>+J38*K38</f>
        <v>-9.66</v>
      </c>
      <c r="J38" s="185">
        <v>7</v>
      </c>
      <c r="K38" s="210">
        <v>-1.38</v>
      </c>
      <c r="L38" s="194">
        <f>+O38-I38-F38-C38</f>
        <v>342.12800000000004</v>
      </c>
      <c r="M38" s="186">
        <f>+P38-J38-G38-D38</f>
        <v>7.0000000000000009</v>
      </c>
      <c r="N38" s="195">
        <f>+L38/M38</f>
        <v>48.875428571428571</v>
      </c>
      <c r="O38" s="196">
        <f>+P38*Q38</f>
        <v>393.68</v>
      </c>
      <c r="P38" s="187">
        <v>28</v>
      </c>
      <c r="Q38" s="197">
        <v>14.06</v>
      </c>
    </row>
    <row r="39" spans="1:26" s="225" customFormat="1" x14ac:dyDescent="0.3">
      <c r="A39" s="43" t="s">
        <v>309</v>
      </c>
      <c r="B39" s="82">
        <v>2007</v>
      </c>
      <c r="C39" s="236"/>
      <c r="D39" s="237"/>
      <c r="E39" s="238"/>
      <c r="F39" s="239"/>
      <c r="G39" s="240"/>
      <c r="H39" s="241"/>
      <c r="I39" s="242"/>
      <c r="J39" s="243"/>
      <c r="K39" s="244"/>
      <c r="L39" s="245"/>
      <c r="M39" s="246"/>
      <c r="N39" s="247"/>
      <c r="O39" s="248"/>
      <c r="P39" s="249"/>
      <c r="Q39" s="250"/>
      <c r="R39"/>
      <c r="S39" s="115"/>
      <c r="T39" s="82"/>
      <c r="U39" s="82"/>
      <c r="V39" s="82"/>
      <c r="W39" s="82"/>
      <c r="X39" s="82"/>
      <c r="Y39" s="84"/>
      <c r="Z39" s="82"/>
    </row>
    <row r="40" spans="1:26" s="225" customFormat="1" x14ac:dyDescent="0.3">
      <c r="A40" s="43" t="s">
        <v>309</v>
      </c>
      <c r="B40" s="16">
        <v>2008</v>
      </c>
      <c r="C40" s="236"/>
      <c r="D40" s="237"/>
      <c r="E40" s="238"/>
      <c r="F40" s="239"/>
      <c r="G40" s="240"/>
      <c r="H40" s="241"/>
      <c r="I40" s="242"/>
      <c r="J40" s="243"/>
      <c r="K40" s="244"/>
      <c r="L40" s="245"/>
      <c r="M40" s="246"/>
      <c r="N40" s="247"/>
      <c r="O40" s="248"/>
      <c r="P40" s="249"/>
      <c r="Q40" s="250"/>
      <c r="R40"/>
      <c r="S40" s="115"/>
      <c r="T40" s="82"/>
      <c r="U40" s="82"/>
      <c r="V40" s="82"/>
      <c r="W40" s="82"/>
      <c r="X40" s="82"/>
      <c r="Y40" s="84"/>
      <c r="Z40" s="82"/>
    </row>
    <row r="41" spans="1:26" s="225" customFormat="1" x14ac:dyDescent="0.3">
      <c r="A41" s="43" t="s">
        <v>309</v>
      </c>
      <c r="B41" s="53">
        <v>2009</v>
      </c>
      <c r="C41" s="236"/>
      <c r="D41" s="237"/>
      <c r="E41" s="238"/>
      <c r="F41" s="239"/>
      <c r="G41" s="240"/>
      <c r="H41" s="241"/>
      <c r="I41" s="242"/>
      <c r="J41" s="243"/>
      <c r="K41" s="244"/>
      <c r="L41" s="245"/>
      <c r="M41" s="246"/>
      <c r="N41" s="247"/>
      <c r="O41" s="248"/>
      <c r="P41" s="249"/>
      <c r="Q41" s="250"/>
      <c r="R41"/>
      <c r="S41" s="115"/>
      <c r="T41" s="82"/>
      <c r="U41" s="82"/>
      <c r="V41" s="82"/>
      <c r="W41" s="82"/>
      <c r="X41" s="82"/>
      <c r="Y41" s="84"/>
      <c r="Z41" s="82"/>
    </row>
    <row r="42" spans="1:26" s="225" customFormat="1" x14ac:dyDescent="0.3">
      <c r="A42" s="43" t="s">
        <v>309</v>
      </c>
      <c r="B42" s="16">
        <v>2010</v>
      </c>
      <c r="C42" s="236"/>
      <c r="D42" s="237"/>
      <c r="E42" s="238"/>
      <c r="F42" s="239"/>
      <c r="G42" s="240"/>
      <c r="H42" s="241"/>
      <c r="I42" s="242"/>
      <c r="J42" s="243"/>
      <c r="K42" s="244"/>
      <c r="L42" s="245"/>
      <c r="M42" s="246"/>
      <c r="N42" s="247"/>
      <c r="O42" s="248"/>
      <c r="P42" s="249"/>
      <c r="Q42" s="250"/>
      <c r="R42"/>
      <c r="S42" s="115"/>
      <c r="T42" s="82"/>
      <c r="U42" s="82"/>
      <c r="V42" s="82"/>
      <c r="W42" s="82"/>
      <c r="X42" s="82"/>
      <c r="Y42" s="84"/>
      <c r="Z42" s="82"/>
    </row>
    <row r="43" spans="1:26" s="225" customFormat="1" x14ac:dyDescent="0.3">
      <c r="A43" s="43" t="s">
        <v>309</v>
      </c>
      <c r="B43" s="53">
        <v>2011</v>
      </c>
      <c r="C43" s="236"/>
      <c r="D43" s="237"/>
      <c r="E43" s="238"/>
      <c r="F43" s="239"/>
      <c r="G43" s="240"/>
      <c r="H43" s="241"/>
      <c r="I43" s="242"/>
      <c r="J43" s="243"/>
      <c r="K43" s="244"/>
      <c r="L43" s="245"/>
      <c r="M43" s="246"/>
      <c r="N43" s="247"/>
      <c r="O43" s="248"/>
      <c r="P43" s="249"/>
      <c r="Q43" s="250"/>
      <c r="R43"/>
      <c r="S43" s="115"/>
      <c r="T43" s="82"/>
      <c r="U43" s="82"/>
      <c r="V43" s="82"/>
      <c r="W43" s="82"/>
      <c r="X43" s="82"/>
      <c r="Y43" s="84"/>
      <c r="Z43" s="82"/>
    </row>
    <row r="44" spans="1:26" s="225" customFormat="1" x14ac:dyDescent="0.3">
      <c r="A44" s="43" t="s">
        <v>309</v>
      </c>
      <c r="B44" s="16">
        <v>2012</v>
      </c>
      <c r="C44" s="236"/>
      <c r="D44" s="237"/>
      <c r="E44" s="238"/>
      <c r="F44" s="239"/>
      <c r="G44" s="240"/>
      <c r="H44" s="241"/>
      <c r="I44" s="242"/>
      <c r="J44" s="243"/>
      <c r="K44" s="244"/>
      <c r="L44" s="245"/>
      <c r="M44" s="246"/>
      <c r="N44" s="247"/>
      <c r="O44" s="248"/>
      <c r="P44" s="249"/>
      <c r="Q44" s="250"/>
      <c r="R44"/>
      <c r="S44" s="115"/>
      <c r="T44" s="82"/>
      <c r="U44" s="82"/>
      <c r="V44" s="82"/>
      <c r="W44" s="82"/>
      <c r="X44" s="82"/>
      <c r="Y44" s="84"/>
      <c r="Z44" s="82"/>
    </row>
    <row r="45" spans="1:26" s="225" customFormat="1" x14ac:dyDescent="0.3">
      <c r="A45" s="43" t="s">
        <v>309</v>
      </c>
      <c r="B45" s="53">
        <v>2013</v>
      </c>
      <c r="C45" s="236"/>
      <c r="D45" s="237"/>
      <c r="E45" s="238"/>
      <c r="F45" s="239"/>
      <c r="G45" s="240"/>
      <c r="H45" s="241"/>
      <c r="I45" s="242"/>
      <c r="J45" s="243"/>
      <c r="K45" s="244"/>
      <c r="L45" s="245"/>
      <c r="M45" s="246"/>
      <c r="N45" s="247"/>
      <c r="O45" s="248"/>
      <c r="P45" s="249"/>
      <c r="Q45" s="250"/>
      <c r="R45"/>
      <c r="S45" s="115"/>
      <c r="T45" s="82"/>
      <c r="U45" s="82"/>
      <c r="V45" s="82"/>
      <c r="W45" s="82"/>
      <c r="X45" s="82"/>
      <c r="Y45" s="84"/>
      <c r="Z45" s="82"/>
    </row>
    <row r="46" spans="1:26" s="225" customFormat="1" x14ac:dyDescent="0.3">
      <c r="A46" s="43" t="s">
        <v>309</v>
      </c>
      <c r="B46" s="53">
        <v>2014</v>
      </c>
      <c r="C46" s="236"/>
      <c r="D46" s="237"/>
      <c r="E46" s="238"/>
      <c r="F46" s="239"/>
      <c r="G46" s="240"/>
      <c r="H46" s="241"/>
      <c r="I46" s="242"/>
      <c r="J46" s="243"/>
      <c r="K46" s="244"/>
      <c r="L46" s="245"/>
      <c r="M46" s="246"/>
      <c r="N46" s="247"/>
      <c r="O46" s="248"/>
      <c r="P46" s="249"/>
      <c r="Q46" s="250"/>
      <c r="R46"/>
      <c r="S46" s="115"/>
      <c r="T46" s="82"/>
      <c r="U46" s="82"/>
      <c r="V46" s="82"/>
      <c r="W46" s="82"/>
      <c r="X46" s="82"/>
      <c r="Y46" s="84"/>
      <c r="Z46" s="82"/>
    </row>
    <row r="47" spans="1:26" s="225" customFormat="1" x14ac:dyDescent="0.3">
      <c r="A47" s="43" t="s">
        <v>309</v>
      </c>
      <c r="B47" s="229">
        <v>2015</v>
      </c>
      <c r="C47" s="188"/>
      <c r="D47" s="259"/>
      <c r="E47" s="189"/>
      <c r="F47" s="190"/>
      <c r="G47" s="260"/>
      <c r="H47" s="191"/>
      <c r="I47" s="192"/>
      <c r="J47" s="261"/>
      <c r="K47" s="193"/>
      <c r="L47" s="194"/>
      <c r="M47" s="186"/>
      <c r="N47" s="262"/>
      <c r="O47" s="263"/>
      <c r="P47" s="264"/>
      <c r="Q47" s="265"/>
      <c r="R47"/>
      <c r="S47" s="115"/>
      <c r="T47" s="82"/>
      <c r="U47" s="82"/>
      <c r="V47" s="82"/>
      <c r="W47" s="82"/>
      <c r="X47" s="82"/>
      <c r="Y47" s="84"/>
      <c r="Z47" s="82"/>
    </row>
    <row r="48" spans="1:26" x14ac:dyDescent="0.3">
      <c r="A48" s="131" t="s">
        <v>40</v>
      </c>
      <c r="B48" s="82">
        <v>2007</v>
      </c>
      <c r="C48" s="251"/>
      <c r="D48" s="93"/>
      <c r="E48" s="252"/>
      <c r="F48" s="253"/>
      <c r="G48" s="105"/>
      <c r="H48" s="254"/>
      <c r="I48" s="255"/>
      <c r="J48" s="94"/>
      <c r="K48" s="256"/>
      <c r="L48" s="257"/>
      <c r="M48" s="258"/>
      <c r="N48" s="111"/>
      <c r="O48" s="102"/>
      <c r="P48" s="95"/>
      <c r="Q48" s="112"/>
      <c r="R48" s="82"/>
    </row>
    <row r="49" spans="1:18" x14ac:dyDescent="0.3">
      <c r="A49" s="131" t="s">
        <v>40</v>
      </c>
      <c r="B49" s="16">
        <v>2008</v>
      </c>
      <c r="C49" s="104"/>
      <c r="D49" s="93"/>
      <c r="E49" s="108"/>
      <c r="F49" s="106"/>
      <c r="G49" s="105"/>
      <c r="H49" s="109"/>
      <c r="I49" s="100"/>
      <c r="J49" s="94"/>
      <c r="K49" s="110"/>
      <c r="L49" s="101"/>
      <c r="M49" s="98"/>
      <c r="N49" s="111"/>
      <c r="O49" s="102"/>
      <c r="P49" s="95"/>
      <c r="Q49" s="112"/>
      <c r="R49" s="82"/>
    </row>
    <row r="50" spans="1:18" x14ac:dyDescent="0.3">
      <c r="A50" s="131" t="s">
        <v>40</v>
      </c>
      <c r="B50" s="53">
        <v>2009</v>
      </c>
      <c r="C50" s="104"/>
      <c r="D50" s="93"/>
      <c r="E50" s="108"/>
      <c r="F50" s="106"/>
      <c r="G50" s="105"/>
      <c r="H50" s="109"/>
      <c r="I50" s="100"/>
      <c r="J50" s="94"/>
      <c r="K50" s="110"/>
      <c r="L50" s="101"/>
      <c r="M50" s="98"/>
      <c r="N50" s="111"/>
      <c r="O50" s="102"/>
      <c r="P50" s="95"/>
      <c r="Q50" s="112"/>
      <c r="R50" s="82"/>
    </row>
    <row r="51" spans="1:18" x14ac:dyDescent="0.3">
      <c r="A51" s="131" t="s">
        <v>40</v>
      </c>
      <c r="B51" s="16">
        <v>2010</v>
      </c>
      <c r="C51" s="104"/>
      <c r="D51" s="93"/>
      <c r="E51" s="108"/>
      <c r="F51" s="106"/>
      <c r="G51" s="105"/>
      <c r="H51" s="109"/>
      <c r="I51" s="100"/>
      <c r="J51" s="94"/>
      <c r="K51" s="110"/>
      <c r="L51" s="101"/>
      <c r="M51" s="98"/>
      <c r="N51" s="111"/>
      <c r="O51" s="102"/>
      <c r="P51" s="95"/>
      <c r="Q51" s="112"/>
      <c r="R51" s="82"/>
    </row>
    <row r="52" spans="1:18" x14ac:dyDescent="0.3">
      <c r="A52" s="131" t="s">
        <v>40</v>
      </c>
      <c r="B52" s="53">
        <v>2011</v>
      </c>
      <c r="C52" s="104"/>
      <c r="D52" s="93"/>
      <c r="E52" s="108"/>
      <c r="F52" s="106"/>
      <c r="G52" s="105"/>
      <c r="H52" s="109"/>
      <c r="I52" s="100"/>
      <c r="J52" s="94"/>
      <c r="K52" s="110"/>
      <c r="L52" s="101"/>
      <c r="M52" s="98"/>
      <c r="N52" s="111"/>
      <c r="O52" s="102"/>
      <c r="P52" s="95"/>
      <c r="Q52" s="112"/>
      <c r="R52" s="82"/>
    </row>
    <row r="53" spans="1:18" x14ac:dyDescent="0.3">
      <c r="A53" s="131" t="s">
        <v>40</v>
      </c>
      <c r="B53" s="16">
        <v>2012</v>
      </c>
      <c r="C53" s="104"/>
      <c r="D53" s="93"/>
      <c r="E53" s="108"/>
      <c r="F53" s="106"/>
      <c r="G53" s="105"/>
      <c r="H53" s="109"/>
      <c r="I53" s="100"/>
      <c r="J53" s="94"/>
      <c r="K53" s="110"/>
      <c r="L53" s="101"/>
      <c r="M53" s="98"/>
      <c r="N53" s="111"/>
      <c r="O53" s="102"/>
      <c r="P53" s="95"/>
      <c r="Q53" s="112"/>
      <c r="R53" s="135"/>
    </row>
    <row r="54" spans="1:18" x14ac:dyDescent="0.3">
      <c r="A54" s="43" t="s">
        <v>40</v>
      </c>
      <c r="B54" s="53">
        <v>2013</v>
      </c>
      <c r="C54" s="104"/>
      <c r="D54" s="96"/>
      <c r="E54" s="108"/>
      <c r="F54" s="106"/>
      <c r="G54" s="107"/>
      <c r="H54" s="109"/>
      <c r="I54" s="100"/>
      <c r="J54" s="97"/>
      <c r="K54" s="110"/>
      <c r="L54" s="101"/>
      <c r="M54" s="98"/>
      <c r="N54" s="111"/>
      <c r="O54" s="102"/>
      <c r="P54" s="99"/>
      <c r="Q54" s="113"/>
      <c r="R54" s="135"/>
    </row>
    <row r="55" spans="1:18" x14ac:dyDescent="0.3">
      <c r="A55" s="43" t="s">
        <v>40</v>
      </c>
      <c r="B55" s="53">
        <v>2014</v>
      </c>
      <c r="C55" s="104"/>
      <c r="D55" s="96"/>
      <c r="E55" s="108"/>
      <c r="F55" s="106"/>
      <c r="G55" s="107"/>
      <c r="H55" s="109"/>
      <c r="I55" s="100"/>
      <c r="J55" s="97"/>
      <c r="K55" s="110"/>
      <c r="L55" s="101"/>
      <c r="M55" s="98"/>
      <c r="N55" s="111"/>
      <c r="O55" s="102"/>
      <c r="P55" s="99"/>
      <c r="Q55" s="113"/>
      <c r="R55" s="135" t="s">
        <v>176</v>
      </c>
    </row>
    <row r="56" spans="1:18" x14ac:dyDescent="0.3">
      <c r="A56" s="41" t="s">
        <v>40</v>
      </c>
      <c r="B56" s="42">
        <v>2015</v>
      </c>
      <c r="C56" s="188"/>
      <c r="D56" s="183"/>
      <c r="E56" s="189"/>
      <c r="F56" s="190"/>
      <c r="G56" s="184"/>
      <c r="H56" s="191"/>
      <c r="I56" s="192"/>
      <c r="J56" s="185"/>
      <c r="K56" s="193"/>
      <c r="L56" s="194"/>
      <c r="M56" s="186"/>
      <c r="N56" s="195"/>
      <c r="O56" s="196"/>
      <c r="P56" s="187"/>
      <c r="Q56" s="197"/>
      <c r="R56" s="135"/>
    </row>
    <row r="57" spans="1:18" x14ac:dyDescent="0.3">
      <c r="A57" s="131" t="s">
        <v>42</v>
      </c>
      <c r="B57" s="82">
        <v>2007</v>
      </c>
      <c r="C57" s="104"/>
      <c r="D57" s="93"/>
      <c r="E57" s="108"/>
      <c r="F57" s="106"/>
      <c r="G57" s="105"/>
      <c r="H57" s="109"/>
      <c r="I57" s="100"/>
      <c r="J57" s="94"/>
      <c r="K57" s="110"/>
      <c r="L57" s="101"/>
      <c r="M57" s="98"/>
      <c r="N57" s="111"/>
      <c r="O57" s="102"/>
      <c r="P57" s="95"/>
      <c r="Q57" s="112"/>
    </row>
    <row r="58" spans="1:18" x14ac:dyDescent="0.3">
      <c r="A58" s="131" t="s">
        <v>42</v>
      </c>
      <c r="B58" s="16">
        <v>2008</v>
      </c>
      <c r="C58" s="104"/>
      <c r="D58" s="93"/>
      <c r="E58" s="108"/>
      <c r="F58" s="106"/>
      <c r="G58" s="105"/>
      <c r="H58" s="109"/>
      <c r="I58" s="100"/>
      <c r="J58" s="94"/>
      <c r="K58" s="110"/>
      <c r="L58" s="101"/>
      <c r="M58" s="98"/>
      <c r="N58" s="111"/>
      <c r="O58" s="102"/>
      <c r="P58" s="95"/>
      <c r="Q58" s="112"/>
    </row>
    <row r="59" spans="1:18" x14ac:dyDescent="0.3">
      <c r="A59" s="131" t="s">
        <v>42</v>
      </c>
      <c r="B59" s="53">
        <v>2009</v>
      </c>
      <c r="C59" s="104"/>
      <c r="D59" s="93"/>
      <c r="E59" s="108"/>
      <c r="F59" s="106"/>
      <c r="G59" s="105"/>
      <c r="H59" s="109"/>
      <c r="I59" s="100"/>
      <c r="J59" s="94"/>
      <c r="K59" s="110"/>
      <c r="L59" s="101"/>
      <c r="M59" s="98"/>
      <c r="N59" s="111"/>
      <c r="O59" s="102"/>
      <c r="P59" s="95"/>
      <c r="Q59" s="112"/>
    </row>
    <row r="60" spans="1:18" x14ac:dyDescent="0.3">
      <c r="A60" s="131" t="s">
        <v>42</v>
      </c>
      <c r="B60" s="16">
        <v>2010</v>
      </c>
      <c r="C60" s="104"/>
      <c r="D60" s="93"/>
      <c r="E60" s="108"/>
      <c r="F60" s="106"/>
      <c r="G60" s="105"/>
      <c r="H60" s="109"/>
      <c r="I60" s="100"/>
      <c r="J60" s="94"/>
      <c r="K60" s="110"/>
      <c r="L60" s="101"/>
      <c r="M60" s="98"/>
      <c r="N60" s="111"/>
      <c r="O60" s="102"/>
      <c r="P60" s="95"/>
      <c r="Q60" s="112"/>
    </row>
    <row r="61" spans="1:18" x14ac:dyDescent="0.3">
      <c r="A61" s="131" t="s">
        <v>42</v>
      </c>
      <c r="B61" s="53">
        <v>2011</v>
      </c>
      <c r="C61" s="104"/>
      <c r="D61" s="93"/>
      <c r="E61" s="108"/>
      <c r="F61" s="106"/>
      <c r="G61" s="105"/>
      <c r="H61" s="109"/>
      <c r="I61" s="100"/>
      <c r="J61" s="94"/>
      <c r="K61" s="110"/>
      <c r="L61" s="101"/>
      <c r="M61" s="98"/>
      <c r="N61" s="111"/>
      <c r="O61" s="102"/>
      <c r="P61" s="95"/>
      <c r="Q61" s="112"/>
    </row>
    <row r="62" spans="1:18" x14ac:dyDescent="0.3">
      <c r="A62" s="131" t="s">
        <v>42</v>
      </c>
      <c r="B62" s="16">
        <v>2012</v>
      </c>
      <c r="C62" s="104">
        <f>+D62*E62</f>
        <v>417.90674999999993</v>
      </c>
      <c r="D62" s="93">
        <f>0.102*91.25</f>
        <v>9.3074999999999992</v>
      </c>
      <c r="E62" s="108">
        <v>44.9</v>
      </c>
      <c r="F62" s="106">
        <f>+G62*H62</f>
        <v>312.748425</v>
      </c>
      <c r="G62" s="105">
        <f>0.099*91.25</f>
        <v>9.0337500000000013</v>
      </c>
      <c r="H62" s="109">
        <v>34.619999999999997</v>
      </c>
      <c r="I62" s="100">
        <f>+J62*K62</f>
        <v>277.92925000000002</v>
      </c>
      <c r="J62" s="94">
        <f>0.097*91.25</f>
        <v>8.8512500000000003</v>
      </c>
      <c r="K62" s="110">
        <v>31.4</v>
      </c>
      <c r="L62" s="101">
        <f t="shared" ref="L62:M65" si="3">+O62-C62-F62-I62</f>
        <v>298.27982500000019</v>
      </c>
      <c r="M62" s="98">
        <f t="shared" si="3"/>
        <v>9.672500000000003</v>
      </c>
      <c r="N62" s="111">
        <f>+L62/M62</f>
        <v>30.837924528301897</v>
      </c>
      <c r="O62" s="102">
        <f>+P62*Q62</f>
        <v>1306.8642500000001</v>
      </c>
      <c r="P62" s="95">
        <f>(0.085+0.016)*365</f>
        <v>36.865000000000002</v>
      </c>
      <c r="Q62" s="112">
        <v>35.450000000000003</v>
      </c>
      <c r="R62" s="135"/>
    </row>
    <row r="63" spans="1:18" x14ac:dyDescent="0.3">
      <c r="A63" s="43" t="s">
        <v>42</v>
      </c>
      <c r="B63" s="53">
        <v>2013</v>
      </c>
      <c r="C63" s="104">
        <f>+D63*E63</f>
        <v>283.41337499999997</v>
      </c>
      <c r="D63" s="96">
        <f>0.105*91.25</f>
        <v>9.5812499999999989</v>
      </c>
      <c r="E63" s="108">
        <v>29.58</v>
      </c>
      <c r="F63" s="106">
        <f>+G63*H63</f>
        <v>283.40424999999999</v>
      </c>
      <c r="G63" s="107">
        <f>0.106*91.25</f>
        <v>9.6724999999999994</v>
      </c>
      <c r="H63" s="109">
        <v>29.3</v>
      </c>
      <c r="I63" s="100">
        <f>+J63*K63</f>
        <v>312.06131249999999</v>
      </c>
      <c r="J63" s="97">
        <f>+(0.094+0.011)*91.25</f>
        <v>9.5812499999999989</v>
      </c>
      <c r="K63" s="110">
        <v>32.57</v>
      </c>
      <c r="L63" s="101">
        <f t="shared" si="3"/>
        <v>339.08226250000007</v>
      </c>
      <c r="M63" s="98">
        <f t="shared" si="3"/>
        <v>9.8550000000000022</v>
      </c>
      <c r="N63" s="111">
        <f>+L63/M63</f>
        <v>34.40712962962963</v>
      </c>
      <c r="O63" s="102">
        <f>+P63*Q63</f>
        <v>1217.9612</v>
      </c>
      <c r="P63" s="99">
        <f>(0.091+0.015)*365</f>
        <v>38.69</v>
      </c>
      <c r="Q63" s="113">
        <v>31.48</v>
      </c>
      <c r="R63" s="135"/>
    </row>
    <row r="64" spans="1:18" x14ac:dyDescent="0.3">
      <c r="A64" s="43" t="s">
        <v>42</v>
      </c>
      <c r="B64" s="53">
        <v>2014</v>
      </c>
      <c r="C64" s="104">
        <f>+D64*E64</f>
        <v>352.080825</v>
      </c>
      <c r="D64" s="96">
        <f>0.107*91.25</f>
        <v>9.7637499999999999</v>
      </c>
      <c r="E64" s="108">
        <v>36.06</v>
      </c>
      <c r="F64" s="106">
        <f>+G64*H64</f>
        <v>331.09880000000004</v>
      </c>
      <c r="G64" s="107">
        <f>0.116*91.25</f>
        <v>10.585000000000001</v>
      </c>
      <c r="H64" s="109">
        <v>31.28</v>
      </c>
      <c r="I64" s="100">
        <f>+J64*K64</f>
        <v>313.44739999999996</v>
      </c>
      <c r="J64" s="97">
        <f>+(0.104+0.008)*91.25</f>
        <v>10.219999999999999</v>
      </c>
      <c r="K64" s="110">
        <v>30.67</v>
      </c>
      <c r="L64" s="101">
        <f t="shared" si="3"/>
        <v>237.58397499999984</v>
      </c>
      <c r="M64" s="98">
        <f t="shared" si="3"/>
        <v>9.5812499999999972</v>
      </c>
      <c r="N64" s="111">
        <f>+L64/M64</f>
        <v>24.796761904761894</v>
      </c>
      <c r="O64" s="102">
        <f>+P64*Q64</f>
        <v>1234.2109999999998</v>
      </c>
      <c r="P64" s="99">
        <f>(0.097+0.013)*365</f>
        <v>40.15</v>
      </c>
      <c r="Q64" s="113">
        <v>30.74</v>
      </c>
      <c r="R64" s="135" t="s">
        <v>176</v>
      </c>
    </row>
    <row r="65" spans="1:18" x14ac:dyDescent="0.3">
      <c r="A65" s="41" t="s">
        <v>42</v>
      </c>
      <c r="B65" s="42">
        <v>2015</v>
      </c>
      <c r="C65" s="188">
        <f>+D65*E65</f>
        <v>151.8263125</v>
      </c>
      <c r="D65" s="183">
        <f>+(0.093+0.014)*91.25</f>
        <v>9.7637499999999999</v>
      </c>
      <c r="E65" s="189">
        <v>15.55</v>
      </c>
      <c r="F65" s="190">
        <f>+G65*H65</f>
        <v>157.65901250000002</v>
      </c>
      <c r="G65" s="184">
        <f>+(0.097+0.016)*91.25</f>
        <v>10.311250000000001</v>
      </c>
      <c r="H65" s="191">
        <v>15.29</v>
      </c>
      <c r="I65" s="192">
        <f>+J65*K65</f>
        <v>120.2446875</v>
      </c>
      <c r="J65" s="185">
        <f>+(0.095+0.01)*91.25</f>
        <v>9.5812499999999989</v>
      </c>
      <c r="K65" s="193">
        <v>12.55</v>
      </c>
      <c r="L65" s="194">
        <f t="shared" si="3"/>
        <v>132.77148749999998</v>
      </c>
      <c r="M65" s="186">
        <f t="shared" si="3"/>
        <v>10.493749999999997</v>
      </c>
      <c r="N65" s="195">
        <f>+L65/M65</f>
        <v>12.652434782608697</v>
      </c>
      <c r="O65" s="196">
        <f>+P65*Q65</f>
        <v>562.50149999999996</v>
      </c>
      <c r="P65" s="187">
        <f>+(0.094+0.016)*365</f>
        <v>40.15</v>
      </c>
      <c r="Q65" s="197">
        <v>14.01</v>
      </c>
      <c r="R65" s="135"/>
    </row>
    <row r="66" spans="1:18" s="225" customFormat="1" x14ac:dyDescent="0.3">
      <c r="A66" s="43" t="s">
        <v>313</v>
      </c>
      <c r="B66" s="82">
        <v>2007</v>
      </c>
      <c r="C66" s="236"/>
      <c r="D66" s="237"/>
      <c r="E66" s="238"/>
      <c r="F66" s="239"/>
      <c r="G66" s="240"/>
      <c r="H66" s="241"/>
      <c r="I66" s="242"/>
      <c r="J66" s="243"/>
      <c r="K66" s="244"/>
      <c r="L66" s="245"/>
      <c r="M66" s="246"/>
      <c r="N66" s="247"/>
      <c r="O66" s="248"/>
      <c r="P66" s="249"/>
      <c r="Q66" s="250"/>
      <c r="R66"/>
    </row>
    <row r="67" spans="1:18" s="225" customFormat="1" x14ac:dyDescent="0.3">
      <c r="A67" s="43" t="s">
        <v>313</v>
      </c>
      <c r="B67" s="16">
        <v>2008</v>
      </c>
      <c r="C67" s="236"/>
      <c r="D67" s="237"/>
      <c r="E67" s="238"/>
      <c r="F67" s="239"/>
      <c r="G67" s="240"/>
      <c r="H67" s="241"/>
      <c r="I67" s="242"/>
      <c r="J67" s="243"/>
      <c r="K67" s="244"/>
      <c r="L67" s="245"/>
      <c r="M67" s="246"/>
      <c r="N67" s="247"/>
      <c r="O67" s="248"/>
      <c r="P67" s="249"/>
      <c r="Q67" s="250"/>
      <c r="R67"/>
    </row>
    <row r="68" spans="1:18" s="225" customFormat="1" x14ac:dyDescent="0.3">
      <c r="A68" s="43" t="s">
        <v>313</v>
      </c>
      <c r="B68" s="53">
        <v>2009</v>
      </c>
      <c r="C68" s="236"/>
      <c r="D68" s="237"/>
      <c r="E68" s="238"/>
      <c r="F68" s="239"/>
      <c r="G68" s="240"/>
      <c r="H68" s="241"/>
      <c r="I68" s="242"/>
      <c r="J68" s="243"/>
      <c r="K68" s="244"/>
      <c r="L68" s="245"/>
      <c r="M68" s="246"/>
      <c r="N68" s="247"/>
      <c r="O68" s="248"/>
      <c r="P68" s="249"/>
      <c r="Q68" s="250"/>
      <c r="R68"/>
    </row>
    <row r="69" spans="1:18" s="225" customFormat="1" x14ac:dyDescent="0.3">
      <c r="A69" s="43" t="s">
        <v>313</v>
      </c>
      <c r="B69" s="16">
        <v>2010</v>
      </c>
      <c r="C69" s="236"/>
      <c r="D69" s="237"/>
      <c r="E69" s="238"/>
      <c r="F69" s="239"/>
      <c r="G69" s="240"/>
      <c r="H69" s="241"/>
      <c r="I69" s="242"/>
      <c r="J69" s="243"/>
      <c r="K69" s="244"/>
      <c r="L69" s="245"/>
      <c r="M69" s="246"/>
      <c r="N69" s="247"/>
      <c r="O69" s="248"/>
      <c r="P69" s="249"/>
      <c r="Q69" s="250"/>
      <c r="R69"/>
    </row>
    <row r="70" spans="1:18" s="225" customFormat="1" x14ac:dyDescent="0.3">
      <c r="A70" s="43" t="s">
        <v>313</v>
      </c>
      <c r="B70" s="53">
        <v>2011</v>
      </c>
      <c r="C70" s="236"/>
      <c r="D70" s="237"/>
      <c r="E70" s="238"/>
      <c r="F70" s="239"/>
      <c r="G70" s="240"/>
      <c r="H70" s="241"/>
      <c r="I70" s="242"/>
      <c r="J70" s="243"/>
      <c r="K70" s="244"/>
      <c r="L70" s="245"/>
      <c r="M70" s="246"/>
      <c r="N70" s="247"/>
      <c r="O70" s="248"/>
      <c r="P70" s="249"/>
      <c r="Q70" s="250"/>
      <c r="R70"/>
    </row>
    <row r="71" spans="1:18" s="225" customFormat="1" x14ac:dyDescent="0.3">
      <c r="A71" s="43" t="s">
        <v>313</v>
      </c>
      <c r="B71" s="16">
        <v>2012</v>
      </c>
      <c r="C71" s="236"/>
      <c r="D71" s="237"/>
      <c r="E71" s="238"/>
      <c r="F71" s="239"/>
      <c r="G71" s="240"/>
      <c r="H71" s="241"/>
      <c r="I71" s="242"/>
      <c r="J71" s="243"/>
      <c r="K71" s="244"/>
      <c r="L71" s="245"/>
      <c r="M71" s="246"/>
      <c r="N71" s="247"/>
      <c r="O71" s="248"/>
      <c r="P71" s="249"/>
      <c r="Q71" s="250"/>
      <c r="R71"/>
    </row>
    <row r="72" spans="1:18" s="225" customFormat="1" x14ac:dyDescent="0.3">
      <c r="A72" s="43" t="s">
        <v>313</v>
      </c>
      <c r="B72" s="53">
        <v>2013</v>
      </c>
      <c r="C72" s="236"/>
      <c r="D72" s="237"/>
      <c r="E72" s="238"/>
      <c r="F72" s="239"/>
      <c r="G72" s="240"/>
      <c r="H72" s="241"/>
      <c r="I72" s="242"/>
      <c r="J72" s="243"/>
      <c r="K72" s="244"/>
      <c r="L72" s="245"/>
      <c r="M72" s="246"/>
      <c r="N72" s="247"/>
      <c r="O72" s="248"/>
      <c r="P72" s="249"/>
      <c r="Q72" s="250"/>
      <c r="R72" t="s">
        <v>194</v>
      </c>
    </row>
    <row r="73" spans="1:18" s="225" customFormat="1" x14ac:dyDescent="0.3">
      <c r="A73" s="43" t="s">
        <v>313</v>
      </c>
      <c r="B73" s="53">
        <v>2014</v>
      </c>
      <c r="C73" s="236"/>
      <c r="D73" s="237"/>
      <c r="E73" s="238"/>
      <c r="F73" s="239"/>
      <c r="G73" s="240"/>
      <c r="H73" s="241"/>
      <c r="I73" s="242"/>
      <c r="J73" s="243"/>
      <c r="K73" s="244"/>
      <c r="L73" s="245"/>
      <c r="M73" s="246"/>
      <c r="N73" s="247"/>
      <c r="O73" s="248"/>
      <c r="P73" s="249"/>
      <c r="Q73" s="250"/>
      <c r="R73" s="114" t="s">
        <v>193</v>
      </c>
    </row>
    <row r="74" spans="1:18" s="225" customFormat="1" x14ac:dyDescent="0.3">
      <c r="A74" s="43" t="s">
        <v>313</v>
      </c>
      <c r="B74" s="42">
        <v>2015</v>
      </c>
      <c r="C74" s="236"/>
      <c r="D74" s="237"/>
      <c r="E74" s="238"/>
      <c r="F74" s="239"/>
      <c r="G74" s="240"/>
      <c r="H74" s="241"/>
      <c r="I74" s="242"/>
      <c r="J74" s="243"/>
      <c r="K74" s="244"/>
      <c r="L74" s="245"/>
      <c r="M74" s="246"/>
      <c r="N74" s="247"/>
      <c r="O74" s="248"/>
      <c r="P74" s="249"/>
      <c r="Q74" s="250"/>
      <c r="R74" s="114"/>
    </row>
    <row r="75" spans="1:18" x14ac:dyDescent="0.3">
      <c r="A75" s="131" t="s">
        <v>44</v>
      </c>
      <c r="B75" s="82">
        <v>2007</v>
      </c>
      <c r="C75" s="104"/>
      <c r="D75" s="93"/>
      <c r="E75" s="108"/>
      <c r="F75" s="106"/>
      <c r="G75" s="105"/>
      <c r="H75" s="109"/>
      <c r="I75" s="100"/>
      <c r="J75" s="94"/>
      <c r="K75" s="110"/>
      <c r="L75" s="101"/>
      <c r="M75" s="98"/>
      <c r="N75" s="111"/>
      <c r="O75" s="102"/>
      <c r="P75" s="95"/>
      <c r="Q75" s="112"/>
      <c r="R75" s="114"/>
    </row>
    <row r="76" spans="1:18" x14ac:dyDescent="0.3">
      <c r="A76" s="131" t="s">
        <v>44</v>
      </c>
      <c r="B76" s="16">
        <v>2008</v>
      </c>
      <c r="C76" s="104"/>
      <c r="D76" s="93"/>
      <c r="E76" s="108"/>
      <c r="F76" s="106"/>
      <c r="G76" s="105"/>
      <c r="H76" s="109"/>
      <c r="I76" s="100"/>
      <c r="J76" s="94"/>
      <c r="K76" s="110"/>
      <c r="L76" s="101"/>
      <c r="M76" s="98"/>
      <c r="N76" s="111"/>
      <c r="O76" s="102"/>
      <c r="P76" s="95"/>
      <c r="Q76" s="112"/>
      <c r="R76" s="114"/>
    </row>
    <row r="77" spans="1:18" x14ac:dyDescent="0.3">
      <c r="A77" s="131" t="s">
        <v>44</v>
      </c>
      <c r="B77" s="53">
        <v>2009</v>
      </c>
      <c r="C77" s="104"/>
      <c r="D77" s="93"/>
      <c r="E77" s="108"/>
      <c r="F77" s="106"/>
      <c r="G77" s="105"/>
      <c r="H77" s="109"/>
      <c r="I77" s="100"/>
      <c r="J77" s="94"/>
      <c r="K77" s="110"/>
      <c r="L77" s="101"/>
      <c r="M77" s="98"/>
      <c r="N77" s="111"/>
      <c r="O77" s="102"/>
      <c r="P77" s="95"/>
      <c r="Q77" s="112"/>
      <c r="R77" s="114"/>
    </row>
    <row r="78" spans="1:18" x14ac:dyDescent="0.3">
      <c r="A78" s="131" t="s">
        <v>44</v>
      </c>
      <c r="B78" s="16">
        <v>2010</v>
      </c>
      <c r="C78" s="104"/>
      <c r="D78" s="93"/>
      <c r="E78" s="108"/>
      <c r="F78" s="106"/>
      <c r="G78" s="105"/>
      <c r="H78" s="109"/>
      <c r="I78" s="100"/>
      <c r="J78" s="94"/>
      <c r="K78" s="110"/>
      <c r="L78" s="101"/>
      <c r="M78" s="98"/>
      <c r="N78" s="111"/>
      <c r="O78" s="102"/>
      <c r="P78" s="95"/>
      <c r="Q78" s="112"/>
      <c r="R78" s="114"/>
    </row>
    <row r="79" spans="1:18" x14ac:dyDescent="0.3">
      <c r="A79" s="131" t="s">
        <v>44</v>
      </c>
      <c r="B79" s="53">
        <v>2011</v>
      </c>
      <c r="C79" s="104"/>
      <c r="D79" s="93"/>
      <c r="E79" s="108"/>
      <c r="F79" s="106"/>
      <c r="G79" s="105"/>
      <c r="H79" s="109"/>
      <c r="I79" s="100"/>
      <c r="J79" s="94"/>
      <c r="K79" s="110"/>
      <c r="L79" s="101"/>
      <c r="M79" s="98"/>
      <c r="N79" s="111"/>
      <c r="O79" s="102"/>
      <c r="P79" s="95"/>
      <c r="Q79" s="112"/>
      <c r="R79" s="114"/>
    </row>
    <row r="80" spans="1:18" x14ac:dyDescent="0.3">
      <c r="A80" s="131" t="s">
        <v>44</v>
      </c>
      <c r="B80" s="16">
        <v>2012</v>
      </c>
      <c r="C80" s="104">
        <f>+D80*E80</f>
        <v>330.64702125000002</v>
      </c>
      <c r="D80" s="93">
        <f>0.1021*91.25</f>
        <v>9.3166250000000002</v>
      </c>
      <c r="E80" s="108">
        <v>35.49</v>
      </c>
      <c r="F80" s="106">
        <f>+G80*H80</f>
        <v>258.03675000000004</v>
      </c>
      <c r="G80" s="105">
        <f>0.09*91.25</f>
        <v>8.2125000000000004</v>
      </c>
      <c r="H80" s="109">
        <v>31.42</v>
      </c>
      <c r="I80" s="100">
        <f>+J80*K80</f>
        <v>247.33422000000002</v>
      </c>
      <c r="J80" s="94">
        <f>0.1008*91.25</f>
        <v>9.1980000000000004</v>
      </c>
      <c r="K80" s="110">
        <v>26.89</v>
      </c>
      <c r="L80" s="101">
        <f t="shared" ref="L80:M82" si="4">+O80-C80-F80-I80</f>
        <v>264.65410875000009</v>
      </c>
      <c r="M80" s="98">
        <f t="shared" si="4"/>
        <v>9.4078750000000042</v>
      </c>
      <c r="N80" s="111">
        <f>+L80/M80</f>
        <v>28.13112512124151</v>
      </c>
      <c r="O80" s="102">
        <f>+P80*Q80</f>
        <v>1100.6721000000002</v>
      </c>
      <c r="P80" s="95">
        <f>0.099*365</f>
        <v>36.135000000000005</v>
      </c>
      <c r="Q80" s="112">
        <v>30.46</v>
      </c>
      <c r="R80" s="114"/>
    </row>
    <row r="81" spans="1:18" x14ac:dyDescent="0.3">
      <c r="A81" s="43" t="s">
        <v>44</v>
      </c>
      <c r="B81" s="53">
        <v>2013</v>
      </c>
      <c r="C81" s="104">
        <f>+D81*E81</f>
        <v>259.62176250000005</v>
      </c>
      <c r="D81" s="96">
        <f>0.101*91.25</f>
        <v>9.2162500000000005</v>
      </c>
      <c r="E81" s="108">
        <v>28.17</v>
      </c>
      <c r="F81" s="106">
        <f>+G81*H81</f>
        <v>252.84918749999997</v>
      </c>
      <c r="G81" s="107">
        <f>0.105*91.25</f>
        <v>9.5812499999999989</v>
      </c>
      <c r="H81" s="109">
        <v>26.39</v>
      </c>
      <c r="I81" s="100">
        <f>+J81*K81</f>
        <v>263.484375</v>
      </c>
      <c r="J81" s="97">
        <f>0.11*91.25</f>
        <v>10.0375</v>
      </c>
      <c r="K81" s="110">
        <v>26.25</v>
      </c>
      <c r="L81" s="101">
        <f t="shared" si="4"/>
        <v>381.62027500000011</v>
      </c>
      <c r="M81" s="98">
        <f t="shared" si="4"/>
        <v>13.505000000000004</v>
      </c>
      <c r="N81" s="111">
        <f>+L81/M81</f>
        <v>28.257702702702701</v>
      </c>
      <c r="O81" s="102">
        <f>+P81*Q81</f>
        <v>1157.5756000000001</v>
      </c>
      <c r="P81" s="99">
        <f>0.116*365</f>
        <v>42.34</v>
      </c>
      <c r="Q81" s="113">
        <v>27.34</v>
      </c>
      <c r="R81" s="114"/>
    </row>
    <row r="82" spans="1:18" x14ac:dyDescent="0.3">
      <c r="A82" s="43" t="s">
        <v>44</v>
      </c>
      <c r="B82" s="53">
        <v>2014</v>
      </c>
      <c r="C82" s="104">
        <f>+D82*E82</f>
        <v>338.03288749999996</v>
      </c>
      <c r="D82" s="96">
        <f>0.119*91.25</f>
        <v>10.858749999999999</v>
      </c>
      <c r="E82" s="108">
        <v>31.13</v>
      </c>
      <c r="F82" s="106">
        <f>+G82*H82</f>
        <v>298.104625</v>
      </c>
      <c r="G82" s="107">
        <f>0.13*91.25</f>
        <v>11.862500000000001</v>
      </c>
      <c r="H82" s="109">
        <v>25.13</v>
      </c>
      <c r="I82" s="100">
        <f>+J82*K82</f>
        <v>326.27167500000002</v>
      </c>
      <c r="J82" s="97">
        <f>0.138*91.25</f>
        <v>12.592500000000001</v>
      </c>
      <c r="K82" s="110">
        <v>25.91</v>
      </c>
      <c r="L82" s="101">
        <f t="shared" si="4"/>
        <v>283.21536250000003</v>
      </c>
      <c r="M82" s="98">
        <f t="shared" si="4"/>
        <v>14.69125</v>
      </c>
      <c r="N82" s="111">
        <f>+L82/M82</f>
        <v>19.277826086956523</v>
      </c>
      <c r="O82" s="102">
        <f>+P82*Q82</f>
        <v>1245.62455</v>
      </c>
      <c r="P82" s="99">
        <f>0.137*365</f>
        <v>50.005000000000003</v>
      </c>
      <c r="Q82" s="113">
        <v>24.91</v>
      </c>
      <c r="R82" s="114"/>
    </row>
    <row r="83" spans="1:18" x14ac:dyDescent="0.3">
      <c r="A83" s="41" t="s">
        <v>44</v>
      </c>
      <c r="B83" s="42">
        <v>2015</v>
      </c>
      <c r="C83" s="188">
        <f>+D83*E83</f>
        <v>119.22725000000003</v>
      </c>
      <c r="D83" s="183">
        <f>0.139*91.25</f>
        <v>12.683750000000002</v>
      </c>
      <c r="E83" s="189">
        <v>9.4</v>
      </c>
      <c r="F83" s="190">
        <f>+G83*H83</f>
        <v>126.06552500000002</v>
      </c>
      <c r="G83" s="184">
        <f>0.134*91.25</f>
        <v>12.227500000000001</v>
      </c>
      <c r="H83" s="191">
        <v>10.31</v>
      </c>
      <c r="I83" s="192">
        <f>+J83*K83</f>
        <v>107.60200000000002</v>
      </c>
      <c r="J83" s="185">
        <f>0.134*91.25</f>
        <v>12.227500000000001</v>
      </c>
      <c r="K83" s="193">
        <v>8.8000000000000007</v>
      </c>
      <c r="L83" s="194">
        <f>+O83-C83-F83-I83</f>
        <v>113.10522499999992</v>
      </c>
      <c r="M83" s="186">
        <f>+P83-D83-G83-J83</f>
        <v>12.861249999999997</v>
      </c>
      <c r="N83" s="195">
        <f>+L83/M83</f>
        <v>8.7942637768490588</v>
      </c>
      <c r="O83" s="196">
        <f>+P83*Q83</f>
        <v>466</v>
      </c>
      <c r="P83" s="187">
        <v>50</v>
      </c>
      <c r="Q83" s="197">
        <v>9.32</v>
      </c>
      <c r="R83" s="114"/>
    </row>
    <row r="84" spans="1:18" x14ac:dyDescent="0.3">
      <c r="A84" s="131" t="s">
        <v>48</v>
      </c>
      <c r="B84" s="82">
        <v>2007</v>
      </c>
      <c r="C84" s="104"/>
      <c r="D84" s="93"/>
      <c r="E84" s="108"/>
      <c r="F84" s="106"/>
      <c r="G84" s="105"/>
      <c r="H84" s="109"/>
      <c r="I84" s="100"/>
      <c r="J84" s="94"/>
      <c r="K84" s="110"/>
      <c r="L84" s="101"/>
      <c r="M84" s="98"/>
      <c r="N84" s="111"/>
      <c r="O84" s="102"/>
      <c r="P84" s="95"/>
      <c r="Q84" s="112"/>
    </row>
    <row r="85" spans="1:18" x14ac:dyDescent="0.3">
      <c r="A85" s="131" t="s">
        <v>48</v>
      </c>
      <c r="B85" s="16">
        <v>2008</v>
      </c>
      <c r="C85" s="104"/>
      <c r="D85" s="93"/>
      <c r="E85" s="108"/>
      <c r="F85" s="106"/>
      <c r="G85" s="105"/>
      <c r="H85" s="109"/>
      <c r="I85" s="100"/>
      <c r="J85" s="94"/>
      <c r="K85" s="110"/>
      <c r="L85" s="101"/>
      <c r="M85" s="98"/>
      <c r="N85" s="111"/>
      <c r="O85" s="102"/>
      <c r="P85" s="95"/>
      <c r="Q85" s="112"/>
    </row>
    <row r="86" spans="1:18" x14ac:dyDescent="0.3">
      <c r="A86" s="131" t="s">
        <v>48</v>
      </c>
      <c r="B86" s="53">
        <v>2009</v>
      </c>
      <c r="C86" s="104"/>
      <c r="D86" s="93"/>
      <c r="E86" s="108"/>
      <c r="F86" s="106"/>
      <c r="G86" s="105"/>
      <c r="H86" s="109"/>
      <c r="I86" s="100"/>
      <c r="J86" s="94"/>
      <c r="K86" s="110"/>
      <c r="L86" s="101"/>
      <c r="M86" s="98"/>
      <c r="N86" s="111"/>
      <c r="O86" s="102"/>
      <c r="P86" s="95"/>
      <c r="Q86" s="112"/>
    </row>
    <row r="87" spans="1:18" x14ac:dyDescent="0.3">
      <c r="A87" s="131" t="s">
        <v>48</v>
      </c>
      <c r="B87" s="16">
        <v>2010</v>
      </c>
      <c r="C87" s="104"/>
      <c r="D87" s="93"/>
      <c r="E87" s="108"/>
      <c r="F87" s="106"/>
      <c r="G87" s="105"/>
      <c r="H87" s="109"/>
      <c r="I87" s="100"/>
      <c r="J87" s="94"/>
      <c r="K87" s="110"/>
      <c r="L87" s="101"/>
      <c r="M87" s="98"/>
      <c r="N87" s="111"/>
      <c r="O87" s="102"/>
      <c r="P87" s="95"/>
      <c r="Q87" s="112"/>
    </row>
    <row r="88" spans="1:18" x14ac:dyDescent="0.3">
      <c r="A88" s="131" t="s">
        <v>48</v>
      </c>
      <c r="B88" s="53">
        <v>2011</v>
      </c>
      <c r="C88" s="104"/>
      <c r="D88" s="93"/>
      <c r="E88" s="108"/>
      <c r="F88" s="106"/>
      <c r="G88" s="105"/>
      <c r="H88" s="109"/>
      <c r="I88" s="100"/>
      <c r="J88" s="94"/>
      <c r="K88" s="110"/>
      <c r="L88" s="101"/>
      <c r="M88" s="98"/>
      <c r="N88" s="111"/>
      <c r="O88" s="102"/>
      <c r="P88" s="95"/>
      <c r="Q88" s="112"/>
    </row>
    <row r="89" spans="1:18" x14ac:dyDescent="0.3">
      <c r="A89" s="131" t="s">
        <v>48</v>
      </c>
      <c r="B89" s="16">
        <v>2012</v>
      </c>
      <c r="C89" s="104">
        <f>+D89*E89</f>
        <v>6.3460464285714275</v>
      </c>
      <c r="D89" s="93">
        <v>8.7773809523809518E-2</v>
      </c>
      <c r="E89" s="108">
        <v>72.3</v>
      </c>
      <c r="F89" s="106">
        <f>+G89*H89</f>
        <v>7.1569895238095231</v>
      </c>
      <c r="G89" s="105">
        <v>9.8202380952380944E-2</v>
      </c>
      <c r="H89" s="109">
        <v>72.88</v>
      </c>
      <c r="I89" s="100">
        <f>+J89*K89</f>
        <v>6.5568078571428581</v>
      </c>
      <c r="J89" s="94">
        <v>0.10689285714285715</v>
      </c>
      <c r="K89" s="110">
        <v>61.34</v>
      </c>
      <c r="L89" s="101">
        <f t="shared" ref="L89:M91" si="5">+O89-C89-F89-I89</f>
        <v>5.2881561904761911</v>
      </c>
      <c r="M89" s="98">
        <f t="shared" si="5"/>
        <v>0.10713095238095241</v>
      </c>
      <c r="N89" s="111">
        <f>+L89/M89</f>
        <v>49.361609067674181</v>
      </c>
      <c r="O89" s="102">
        <f>+P89*Q89</f>
        <v>25.347999999999999</v>
      </c>
      <c r="P89" s="95">
        <v>0.4</v>
      </c>
      <c r="Q89" s="112">
        <v>63.37</v>
      </c>
      <c r="R89" s="82" t="s">
        <v>275</v>
      </c>
    </row>
    <row r="90" spans="1:18" x14ac:dyDescent="0.3">
      <c r="A90" s="43" t="s">
        <v>48</v>
      </c>
      <c r="B90" s="53">
        <v>2013</v>
      </c>
      <c r="C90" s="104">
        <f>+D90*E90</f>
        <v>37.830340116279075</v>
      </c>
      <c r="D90" s="96">
        <v>0.72416424418604652</v>
      </c>
      <c r="E90" s="108">
        <v>52.24</v>
      </c>
      <c r="F90" s="106">
        <f>+G90*H90</f>
        <v>39.810762209302332</v>
      </c>
      <c r="G90" s="107">
        <v>0.80215116279069776</v>
      </c>
      <c r="H90" s="109">
        <v>49.63</v>
      </c>
      <c r="I90" s="100">
        <f>+J90*K90</f>
        <v>43.720580668604647</v>
      </c>
      <c r="J90" s="97">
        <v>0.94327034883720917</v>
      </c>
      <c r="K90" s="110">
        <v>46.35</v>
      </c>
      <c r="L90" s="101">
        <f t="shared" si="5"/>
        <v>49.963317005813956</v>
      </c>
      <c r="M90" s="98">
        <f t="shared" si="5"/>
        <v>1.0304142441860467</v>
      </c>
      <c r="N90" s="111">
        <f>+L90/M90</f>
        <v>48.488573685509749</v>
      </c>
      <c r="O90" s="102">
        <f>+P90*Q90</f>
        <v>171.32500000000002</v>
      </c>
      <c r="P90" s="99">
        <v>3.5</v>
      </c>
      <c r="Q90" s="113">
        <v>48.95</v>
      </c>
    </row>
    <row r="91" spans="1:18" x14ac:dyDescent="0.3">
      <c r="A91" s="43" t="s">
        <v>48</v>
      </c>
      <c r="B91" s="53">
        <v>2014</v>
      </c>
      <c r="C91" s="104">
        <f>+D91*E91</f>
        <v>54.973379999999999</v>
      </c>
      <c r="D91" s="96">
        <v>1.022</v>
      </c>
      <c r="E91" s="108">
        <v>53.79</v>
      </c>
      <c r="F91" s="106">
        <f>+G91*H91</f>
        <v>47.321793749999998</v>
      </c>
      <c r="G91" s="107">
        <v>0.958125</v>
      </c>
      <c r="H91" s="109">
        <v>49.39</v>
      </c>
      <c r="I91" s="100">
        <f>+J91*K91</f>
        <v>63.625704999999996</v>
      </c>
      <c r="J91" s="97">
        <v>1.304875</v>
      </c>
      <c r="K91" s="110">
        <v>48.76</v>
      </c>
      <c r="L91" s="101">
        <f t="shared" si="5"/>
        <v>74.529121250000046</v>
      </c>
      <c r="M91" s="98">
        <f t="shared" si="5"/>
        <v>1.7149999999999999</v>
      </c>
      <c r="N91" s="111">
        <v>40.869999999999997</v>
      </c>
      <c r="O91" s="102">
        <f>+P91*Q91</f>
        <v>240.45000000000002</v>
      </c>
      <c r="P91" s="99">
        <v>5</v>
      </c>
      <c r="Q91" s="113">
        <v>48.09</v>
      </c>
    </row>
    <row r="92" spans="1:18" x14ac:dyDescent="0.3">
      <c r="A92" s="41" t="s">
        <v>48</v>
      </c>
      <c r="B92" s="42">
        <v>2015</v>
      </c>
      <c r="C92" s="188">
        <f>+D92*E92</f>
        <v>40.604060000000004</v>
      </c>
      <c r="D92" s="183">
        <f>0.0203*91.25</f>
        <v>1.8523749999999999</v>
      </c>
      <c r="E92" s="189">
        <v>21.92</v>
      </c>
      <c r="F92" s="190">
        <f>+G92*H92</f>
        <v>47.191215</v>
      </c>
      <c r="G92" s="184">
        <f>0.0213*91.25</f>
        <v>1.9436249999999999</v>
      </c>
      <c r="H92" s="191">
        <v>24.28</v>
      </c>
      <c r="I92" s="192">
        <f>+J92*K92</f>
        <v>47.501282500000002</v>
      </c>
      <c r="J92" s="185">
        <f>0.0266*91.25</f>
        <v>2.4272499999999999</v>
      </c>
      <c r="K92" s="193">
        <v>19.57</v>
      </c>
      <c r="L92" s="194">
        <f>+O92-C92-F92-I92</f>
        <v>50.979442499999976</v>
      </c>
      <c r="M92" s="186">
        <f>0.0262*91.25</f>
        <v>2.3907500000000002</v>
      </c>
      <c r="N92" s="195">
        <v>21.36</v>
      </c>
      <c r="O92" s="196">
        <f>+P92*Q92</f>
        <v>186.27599999999998</v>
      </c>
      <c r="P92" s="187">
        <v>8.6</v>
      </c>
      <c r="Q92" s="197">
        <v>21.66</v>
      </c>
    </row>
    <row r="93" spans="1:18" x14ac:dyDescent="0.3">
      <c r="A93" s="131" t="s">
        <v>51</v>
      </c>
      <c r="B93" s="82">
        <v>2007</v>
      </c>
      <c r="C93" s="104"/>
      <c r="D93" s="93"/>
      <c r="E93" s="108"/>
      <c r="F93" s="106"/>
      <c r="G93" s="105"/>
      <c r="H93" s="109"/>
      <c r="I93" s="100"/>
      <c r="J93" s="94"/>
      <c r="K93" s="110"/>
      <c r="L93" s="101"/>
      <c r="M93" s="98"/>
      <c r="N93" s="111"/>
      <c r="O93" s="102"/>
      <c r="P93" s="95"/>
      <c r="Q93" s="112"/>
    </row>
    <row r="94" spans="1:18" x14ac:dyDescent="0.3">
      <c r="A94" s="131" t="s">
        <v>51</v>
      </c>
      <c r="B94" s="16">
        <v>2008</v>
      </c>
      <c r="C94" s="104"/>
      <c r="D94" s="93"/>
      <c r="E94" s="108"/>
      <c r="F94" s="106"/>
      <c r="G94" s="105"/>
      <c r="H94" s="109"/>
      <c r="I94" s="100"/>
      <c r="J94" s="94"/>
      <c r="K94" s="110"/>
      <c r="L94" s="101"/>
      <c r="M94" s="98"/>
      <c r="N94" s="111"/>
      <c r="O94" s="102"/>
      <c r="P94" s="95"/>
      <c r="Q94" s="112"/>
    </row>
    <row r="95" spans="1:18" x14ac:dyDescent="0.3">
      <c r="A95" s="131" t="s">
        <v>51</v>
      </c>
      <c r="B95" s="53">
        <v>2009</v>
      </c>
      <c r="C95" s="104"/>
      <c r="D95" s="93"/>
      <c r="E95" s="108"/>
      <c r="F95" s="106"/>
      <c r="G95" s="105"/>
      <c r="H95" s="109"/>
      <c r="I95" s="100"/>
      <c r="J95" s="94"/>
      <c r="K95" s="110"/>
      <c r="L95" s="101"/>
      <c r="M95" s="98"/>
      <c r="N95" s="111"/>
      <c r="O95" s="102"/>
      <c r="P95" s="95"/>
      <c r="Q95" s="112"/>
    </row>
    <row r="96" spans="1:18" x14ac:dyDescent="0.3">
      <c r="A96" s="131" t="s">
        <v>51</v>
      </c>
      <c r="B96" s="16">
        <v>2010</v>
      </c>
      <c r="C96" s="104"/>
      <c r="D96" s="93"/>
      <c r="E96" s="108"/>
      <c r="F96" s="106"/>
      <c r="G96" s="105"/>
      <c r="H96" s="109"/>
      <c r="I96" s="100"/>
      <c r="J96" s="94"/>
      <c r="K96" s="110"/>
      <c r="L96" s="101"/>
      <c r="M96" s="98"/>
      <c r="N96" s="111"/>
      <c r="O96" s="102"/>
      <c r="P96" s="95"/>
      <c r="Q96" s="112"/>
    </row>
    <row r="97" spans="1:18" x14ac:dyDescent="0.3">
      <c r="A97" s="131" t="s">
        <v>51</v>
      </c>
      <c r="B97" s="53">
        <v>2011</v>
      </c>
      <c r="C97" s="104"/>
      <c r="D97" s="93"/>
      <c r="E97" s="108"/>
      <c r="F97" s="106"/>
      <c r="G97" s="105"/>
      <c r="H97" s="109"/>
      <c r="I97" s="100"/>
      <c r="J97" s="94"/>
      <c r="K97" s="110"/>
      <c r="L97" s="101"/>
      <c r="M97" s="98"/>
      <c r="N97" s="111"/>
      <c r="O97" s="102"/>
      <c r="P97" s="95"/>
      <c r="Q97" s="112"/>
    </row>
    <row r="98" spans="1:18" x14ac:dyDescent="0.3">
      <c r="A98" s="131" t="s">
        <v>51</v>
      </c>
      <c r="B98" s="16">
        <v>2012</v>
      </c>
      <c r="C98" s="104">
        <f>+D98*E98</f>
        <v>195.02378875000002</v>
      </c>
      <c r="D98" s="93">
        <f>0.0503*91.25</f>
        <v>4.5898750000000001</v>
      </c>
      <c r="E98" s="108">
        <v>42.49</v>
      </c>
      <c r="F98" s="106">
        <f>+G98*H98</f>
        <v>167.10466500000001</v>
      </c>
      <c r="G98" s="105">
        <f>0.0546*91.25</f>
        <v>4.9822500000000005</v>
      </c>
      <c r="H98" s="109">
        <v>33.54</v>
      </c>
      <c r="I98" s="100">
        <f>+J98*K98</f>
        <v>164.08529374999998</v>
      </c>
      <c r="J98" s="94">
        <f>0.0581*91.25</f>
        <v>5.3016249999999996</v>
      </c>
      <c r="K98" s="110">
        <v>30.95</v>
      </c>
      <c r="L98" s="101">
        <f t="shared" ref="L98:M100" si="6">+O98-C98-F98-I98</f>
        <v>185.93446749999995</v>
      </c>
      <c r="M98" s="98">
        <f t="shared" si="6"/>
        <v>5.2377500000000001</v>
      </c>
      <c r="N98" s="111">
        <f>+L98/M98</f>
        <v>35.498919860627169</v>
      </c>
      <c r="O98" s="102">
        <f>+P98*Q98</f>
        <v>712.14821499999994</v>
      </c>
      <c r="P98" s="95">
        <f>0.0551*365</f>
        <v>20.111499999999999</v>
      </c>
      <c r="Q98" s="112">
        <v>35.409999999999997</v>
      </c>
    </row>
    <row r="99" spans="1:18" x14ac:dyDescent="0.3">
      <c r="A99" s="43" t="s">
        <v>51</v>
      </c>
      <c r="B99" s="53">
        <v>2013</v>
      </c>
      <c r="C99" s="104">
        <f>+D99*E99</f>
        <v>169.13351749999998</v>
      </c>
      <c r="D99" s="96">
        <f>0.0586*91.25</f>
        <v>5.3472499999999998</v>
      </c>
      <c r="E99" s="108">
        <v>31.63</v>
      </c>
      <c r="F99" s="106">
        <f>+G99*H99</f>
        <v>175.48314875000003</v>
      </c>
      <c r="G99" s="107">
        <f>0.0637*91.25</f>
        <v>5.8126250000000006</v>
      </c>
      <c r="H99" s="109">
        <v>30.19</v>
      </c>
      <c r="I99" s="100">
        <f>+J99*K99</f>
        <v>203.81143749999998</v>
      </c>
      <c r="J99" s="97">
        <f>0.0682*91.25</f>
        <v>6.2232499999999993</v>
      </c>
      <c r="K99" s="110">
        <v>32.75</v>
      </c>
      <c r="L99" s="101">
        <f t="shared" si="6"/>
        <v>213.39186625000005</v>
      </c>
      <c r="M99" s="98">
        <f t="shared" si="6"/>
        <v>6.0863750000000012</v>
      </c>
      <c r="N99" s="111">
        <f>+L99/M99</f>
        <v>35.060584707646179</v>
      </c>
      <c r="O99" s="102">
        <f>+P99*Q99</f>
        <v>761.81997000000001</v>
      </c>
      <c r="P99" s="99">
        <f>0.0643*365</f>
        <v>23.4695</v>
      </c>
      <c r="Q99" s="113">
        <v>32.46</v>
      </c>
      <c r="R99" s="134" t="s">
        <v>199</v>
      </c>
    </row>
    <row r="100" spans="1:18" x14ac:dyDescent="0.3">
      <c r="A100" s="43" t="s">
        <v>51</v>
      </c>
      <c r="B100" s="53">
        <v>2014</v>
      </c>
      <c r="C100" s="104">
        <f>+D100*E100</f>
        <v>246.14505000000003</v>
      </c>
      <c r="D100" s="96">
        <f>0.0708*91.25</f>
        <v>6.4605000000000006</v>
      </c>
      <c r="E100" s="108">
        <v>38.1</v>
      </c>
      <c r="F100" s="106">
        <f>+G100*H100</f>
        <v>246.05334375000001</v>
      </c>
      <c r="G100" s="107">
        <f>0.0785*91.25</f>
        <v>7.163125</v>
      </c>
      <c r="H100" s="109">
        <v>34.35</v>
      </c>
      <c r="I100" s="100">
        <f>+J100*K100</f>
        <v>255.31184249999998</v>
      </c>
      <c r="J100" s="97">
        <f>0.0858*91.25</f>
        <v>7.82925</v>
      </c>
      <c r="K100" s="110">
        <v>32.61</v>
      </c>
      <c r="L100" s="101">
        <f t="shared" si="6"/>
        <v>178.73128374999996</v>
      </c>
      <c r="M100" s="98">
        <f t="shared" si="6"/>
        <v>7.6376249999999981</v>
      </c>
      <c r="N100" s="111">
        <f>+L100/M100</f>
        <v>23.401421744324971</v>
      </c>
      <c r="O100" s="102">
        <f>+P100*Q100</f>
        <v>926.24151999999992</v>
      </c>
      <c r="P100" s="99">
        <f>0.0797*365</f>
        <v>29.090499999999999</v>
      </c>
      <c r="Q100" s="113">
        <v>31.84</v>
      </c>
      <c r="R100" t="s">
        <v>166</v>
      </c>
    </row>
    <row r="101" spans="1:18" x14ac:dyDescent="0.3">
      <c r="A101" s="41" t="s">
        <v>51</v>
      </c>
      <c r="B101" s="42">
        <v>2015</v>
      </c>
      <c r="C101" s="188">
        <f>+D101*E101</f>
        <v>113.710275</v>
      </c>
      <c r="D101" s="183">
        <f>0.0774*91.25</f>
        <v>7.0627499999999994</v>
      </c>
      <c r="E101" s="189">
        <v>16.100000000000001</v>
      </c>
      <c r="F101" s="190">
        <f>+G101*H101</f>
        <v>104.15001250000002</v>
      </c>
      <c r="G101" s="184">
        <f>0.0734*91.25</f>
        <v>6.697750000000001</v>
      </c>
      <c r="H101" s="191">
        <v>15.55</v>
      </c>
      <c r="I101" s="192">
        <f>+J101*K101</f>
        <v>93.944156250000006</v>
      </c>
      <c r="J101" s="185">
        <f>0.0777*91.25</f>
        <v>7.0901250000000005</v>
      </c>
      <c r="K101" s="193">
        <v>13.25</v>
      </c>
      <c r="L101" s="194">
        <f>+O101-C101-F101-I101</f>
        <v>95.188806249999956</v>
      </c>
      <c r="M101" s="186">
        <f>+P101-D101-G101-J101</f>
        <v>7.2178749999999976</v>
      </c>
      <c r="N101" s="195">
        <f>+L101/M101</f>
        <v>13.187926675094815</v>
      </c>
      <c r="O101" s="196">
        <f>+P101*Q101</f>
        <v>406.99324999999999</v>
      </c>
      <c r="P101" s="187">
        <f>0.0769*365</f>
        <v>28.0685</v>
      </c>
      <c r="Q101" s="197">
        <v>14.5</v>
      </c>
    </row>
    <row r="102" spans="1:18" x14ac:dyDescent="0.3">
      <c r="A102" s="131" t="s">
        <v>54</v>
      </c>
      <c r="B102" s="82">
        <v>2007</v>
      </c>
      <c r="C102" s="104"/>
      <c r="D102" s="93"/>
      <c r="E102" s="108"/>
      <c r="F102" s="106"/>
      <c r="G102" s="105"/>
      <c r="H102" s="109"/>
      <c r="I102" s="100"/>
      <c r="J102" s="94"/>
      <c r="K102" s="110"/>
      <c r="L102" s="101"/>
      <c r="M102" s="98"/>
      <c r="N102" s="111"/>
      <c r="O102" s="102"/>
      <c r="P102" s="95"/>
      <c r="Q102" s="112"/>
    </row>
    <row r="103" spans="1:18" x14ac:dyDescent="0.3">
      <c r="A103" s="131" t="s">
        <v>54</v>
      </c>
      <c r="B103" s="16">
        <v>2008</v>
      </c>
      <c r="C103" s="104"/>
      <c r="D103" s="93"/>
      <c r="E103" s="108"/>
      <c r="F103" s="106"/>
      <c r="G103" s="105"/>
      <c r="H103" s="109"/>
      <c r="I103" s="100"/>
      <c r="J103" s="94"/>
      <c r="K103" s="110"/>
      <c r="L103" s="101"/>
      <c r="M103" s="98"/>
      <c r="N103" s="111"/>
      <c r="O103" s="102"/>
      <c r="P103" s="95"/>
      <c r="Q103" s="112"/>
    </row>
    <row r="104" spans="1:18" x14ac:dyDescent="0.3">
      <c r="A104" s="131" t="s">
        <v>54</v>
      </c>
      <c r="B104" s="53">
        <v>2009</v>
      </c>
      <c r="C104" s="104"/>
      <c r="D104" s="93"/>
      <c r="E104" s="108"/>
      <c r="F104" s="106"/>
      <c r="G104" s="105"/>
      <c r="H104" s="109"/>
      <c r="I104" s="100"/>
      <c r="J104" s="94"/>
      <c r="K104" s="110"/>
      <c r="L104" s="101"/>
      <c r="M104" s="98"/>
      <c r="N104" s="111"/>
      <c r="O104" s="102"/>
      <c r="P104" s="95"/>
      <c r="Q104" s="112"/>
    </row>
    <row r="105" spans="1:18" x14ac:dyDescent="0.3">
      <c r="A105" s="131" t="s">
        <v>54</v>
      </c>
      <c r="B105" s="16">
        <v>2010</v>
      </c>
      <c r="C105" s="104"/>
      <c r="D105" s="93"/>
      <c r="E105" s="108"/>
      <c r="F105" s="106"/>
      <c r="G105" s="105"/>
      <c r="H105" s="109"/>
      <c r="I105" s="100"/>
      <c r="J105" s="94"/>
      <c r="K105" s="110"/>
      <c r="L105" s="101"/>
      <c r="M105" s="98"/>
      <c r="N105" s="111"/>
      <c r="O105" s="102"/>
      <c r="P105" s="95"/>
      <c r="Q105" s="112"/>
    </row>
    <row r="106" spans="1:18" x14ac:dyDescent="0.3">
      <c r="A106" s="131" t="s">
        <v>54</v>
      </c>
      <c r="B106" s="53">
        <v>2011</v>
      </c>
      <c r="C106" s="104"/>
      <c r="D106" s="93"/>
      <c r="E106" s="108"/>
      <c r="F106" s="106"/>
      <c r="G106" s="105"/>
      <c r="H106" s="109"/>
      <c r="I106" s="100"/>
      <c r="J106" s="94"/>
      <c r="K106" s="110"/>
      <c r="L106" s="101"/>
      <c r="M106" s="98"/>
      <c r="N106" s="111"/>
      <c r="O106" s="102"/>
      <c r="P106" s="95"/>
      <c r="Q106" s="112"/>
    </row>
    <row r="107" spans="1:18" x14ac:dyDescent="0.3">
      <c r="A107" s="131" t="s">
        <v>54</v>
      </c>
      <c r="B107" s="16">
        <v>2012</v>
      </c>
      <c r="C107" s="104"/>
      <c r="D107" s="93"/>
      <c r="E107" s="108"/>
      <c r="F107" s="106"/>
      <c r="G107" s="105"/>
      <c r="H107" s="109"/>
      <c r="I107" s="100"/>
      <c r="J107" s="94"/>
      <c r="K107" s="110"/>
      <c r="L107" s="101"/>
      <c r="M107" s="98"/>
      <c r="N107" s="111"/>
      <c r="O107" s="102"/>
      <c r="P107" s="95"/>
      <c r="Q107" s="112">
        <v>50.46</v>
      </c>
    </row>
    <row r="108" spans="1:18" x14ac:dyDescent="0.3">
      <c r="A108" s="43" t="s">
        <v>54</v>
      </c>
      <c r="B108" s="53">
        <v>2013</v>
      </c>
      <c r="C108" s="104"/>
      <c r="D108" s="96"/>
      <c r="E108" s="108"/>
      <c r="F108" s="106"/>
      <c r="G108" s="107"/>
      <c r="H108" s="109"/>
      <c r="I108" s="100"/>
      <c r="J108" s="97"/>
      <c r="K108" s="110"/>
      <c r="L108" s="101"/>
      <c r="M108" s="98"/>
      <c r="N108" s="111"/>
      <c r="O108" s="102"/>
      <c r="P108" s="99"/>
      <c r="Q108" s="113">
        <v>44.24</v>
      </c>
    </row>
    <row r="109" spans="1:18" x14ac:dyDescent="0.3">
      <c r="A109" s="43" t="s">
        <v>54</v>
      </c>
      <c r="B109" s="53">
        <v>2014</v>
      </c>
      <c r="C109" s="104"/>
      <c r="D109" s="96"/>
      <c r="E109" s="108"/>
      <c r="F109" s="106"/>
      <c r="G109" s="107"/>
      <c r="H109" s="109"/>
      <c r="I109" s="100"/>
      <c r="J109" s="97"/>
      <c r="K109" s="110"/>
      <c r="L109" s="101"/>
      <c r="M109" s="98"/>
      <c r="N109" s="111"/>
      <c r="O109" s="102"/>
      <c r="P109" s="99"/>
      <c r="Q109" s="113">
        <v>39.68</v>
      </c>
      <c r="R109" s="114" t="s">
        <v>167</v>
      </c>
    </row>
    <row r="110" spans="1:18" x14ac:dyDescent="0.3">
      <c r="A110" s="41" t="s">
        <v>54</v>
      </c>
      <c r="B110" s="42">
        <v>2015</v>
      </c>
      <c r="C110" s="188"/>
      <c r="D110" s="183"/>
      <c r="E110" s="189"/>
      <c r="F110" s="190"/>
      <c r="G110" s="184"/>
      <c r="H110" s="191"/>
      <c r="I110" s="192"/>
      <c r="J110" s="185"/>
      <c r="K110" s="193"/>
      <c r="L110" s="194"/>
      <c r="M110" s="186"/>
      <c r="N110" s="195"/>
      <c r="O110" s="196"/>
      <c r="P110" s="187"/>
      <c r="Q110" s="197"/>
      <c r="R110" s="114"/>
    </row>
    <row r="111" spans="1:18" x14ac:dyDescent="0.3">
      <c r="A111" s="131" t="s">
        <v>56</v>
      </c>
      <c r="B111" s="82">
        <v>2007</v>
      </c>
      <c r="C111" s="104"/>
      <c r="D111" s="93"/>
      <c r="E111" s="108"/>
      <c r="F111" s="106"/>
      <c r="G111" s="105"/>
      <c r="H111" s="109"/>
      <c r="I111" s="100"/>
      <c r="J111" s="94"/>
      <c r="K111" s="110"/>
      <c r="L111" s="101"/>
      <c r="M111" s="98"/>
      <c r="N111" s="111"/>
      <c r="O111" s="102"/>
      <c r="P111" s="95"/>
      <c r="Q111" s="112"/>
    </row>
    <row r="112" spans="1:18" x14ac:dyDescent="0.3">
      <c r="A112" s="131" t="s">
        <v>56</v>
      </c>
      <c r="B112" s="16">
        <v>2008</v>
      </c>
      <c r="C112" s="104"/>
      <c r="D112" s="93"/>
      <c r="E112" s="108"/>
      <c r="F112" s="106"/>
      <c r="G112" s="105"/>
      <c r="H112" s="109"/>
      <c r="I112" s="100"/>
      <c r="J112" s="94"/>
      <c r="K112" s="110"/>
      <c r="L112" s="101"/>
      <c r="M112" s="98"/>
      <c r="N112" s="111"/>
      <c r="O112" s="102"/>
      <c r="P112" s="95"/>
      <c r="Q112" s="112"/>
    </row>
    <row r="113" spans="1:34" x14ac:dyDescent="0.3">
      <c r="A113" s="131" t="s">
        <v>56</v>
      </c>
      <c r="B113" s="53">
        <v>2009</v>
      </c>
      <c r="C113" s="104"/>
      <c r="D113" s="93"/>
      <c r="E113" s="108"/>
      <c r="F113" s="106"/>
      <c r="G113" s="105"/>
      <c r="H113" s="109"/>
      <c r="I113" s="100"/>
      <c r="J113" s="94"/>
      <c r="K113" s="110"/>
      <c r="L113" s="101"/>
      <c r="M113" s="98"/>
      <c r="N113" s="111"/>
      <c r="O113" s="102"/>
      <c r="P113" s="95"/>
      <c r="Q113" s="112"/>
    </row>
    <row r="114" spans="1:34" x14ac:dyDescent="0.3">
      <c r="A114" s="131" t="s">
        <v>56</v>
      </c>
      <c r="B114" s="16">
        <v>2010</v>
      </c>
      <c r="C114" s="104"/>
      <c r="D114" s="93"/>
      <c r="E114" s="108"/>
      <c r="F114" s="106"/>
      <c r="G114" s="105"/>
      <c r="H114" s="109"/>
      <c r="I114" s="100"/>
      <c r="J114" s="94"/>
      <c r="K114" s="110"/>
      <c r="L114" s="101"/>
      <c r="M114" s="98"/>
      <c r="N114" s="111"/>
      <c r="O114" s="102"/>
      <c r="P114" s="95"/>
      <c r="Q114" s="112"/>
    </row>
    <row r="115" spans="1:34" x14ac:dyDescent="0.3">
      <c r="A115" s="131" t="s">
        <v>56</v>
      </c>
      <c r="B115" s="53">
        <v>2011</v>
      </c>
      <c r="C115" s="104"/>
      <c r="D115" s="93"/>
      <c r="E115" s="108"/>
      <c r="F115" s="106"/>
      <c r="G115" s="105"/>
      <c r="H115" s="109"/>
      <c r="I115" s="100"/>
      <c r="J115" s="94"/>
      <c r="K115" s="110"/>
      <c r="L115" s="101"/>
      <c r="M115" s="98"/>
      <c r="N115" s="111"/>
      <c r="O115" s="102"/>
      <c r="P115" s="95"/>
      <c r="Q115" s="112"/>
    </row>
    <row r="116" spans="1:34" x14ac:dyDescent="0.3">
      <c r="A116" s="131" t="s">
        <v>56</v>
      </c>
      <c r="B116" s="16">
        <v>2012</v>
      </c>
      <c r="C116" s="104"/>
      <c r="D116" s="93"/>
      <c r="E116" s="108"/>
      <c r="F116" s="106"/>
      <c r="G116" s="105"/>
      <c r="H116" s="109"/>
      <c r="I116" s="100"/>
      <c r="J116" s="94"/>
      <c r="K116" s="110"/>
      <c r="L116" s="101"/>
      <c r="M116" s="98"/>
      <c r="N116" s="111"/>
      <c r="O116" s="102"/>
      <c r="P116" s="95"/>
      <c r="Q116" s="112"/>
      <c r="T116" s="104">
        <f>+U116*V116</f>
        <v>354.45150000000001</v>
      </c>
      <c r="U116" s="93">
        <f>0.072*91.25</f>
        <v>6.5699999999999994</v>
      </c>
      <c r="V116" s="108">
        <v>53.95</v>
      </c>
      <c r="W116" s="106">
        <f>+X116*Y116</f>
        <v>291.4296875</v>
      </c>
      <c r="X116" s="105">
        <f>0.073*91.25</f>
        <v>6.6612499999999999</v>
      </c>
      <c r="Y116" s="109">
        <v>43.75</v>
      </c>
      <c r="Z116" s="100">
        <f>+AA116*AB116</f>
        <v>281.30914999999993</v>
      </c>
      <c r="AA116" s="94">
        <f>0.074*91.25</f>
        <v>6.7524999999999995</v>
      </c>
      <c r="AB116" s="110">
        <v>41.66</v>
      </c>
      <c r="AC116" s="101">
        <f t="shared" ref="AC116:AD118" si="7">+AF116-T116-W116-Z116</f>
        <v>-26.603937499999802</v>
      </c>
      <c r="AD116" s="98">
        <f t="shared" si="7"/>
        <v>0.4562500000000016</v>
      </c>
      <c r="AE116" s="111">
        <f>+AC116/AD116</f>
        <v>-58.309999999999363</v>
      </c>
      <c r="AF116" s="102">
        <f>+AG116*AH116</f>
        <v>900.58640000000014</v>
      </c>
      <c r="AG116" s="95">
        <f>0.056*365</f>
        <v>20.440000000000001</v>
      </c>
      <c r="AH116" s="112">
        <v>44.06</v>
      </c>
    </row>
    <row r="117" spans="1:34" x14ac:dyDescent="0.3">
      <c r="A117" s="43" t="s">
        <v>56</v>
      </c>
      <c r="B117" s="53">
        <v>2013</v>
      </c>
      <c r="C117" s="104"/>
      <c r="D117" s="96"/>
      <c r="E117" s="108"/>
      <c r="F117" s="106"/>
      <c r="G117" s="107"/>
      <c r="H117" s="109"/>
      <c r="I117" s="100"/>
      <c r="J117" s="97"/>
      <c r="K117" s="110"/>
      <c r="L117" s="101"/>
      <c r="M117" s="98"/>
      <c r="N117" s="111"/>
      <c r="O117" s="102"/>
      <c r="P117" s="99"/>
      <c r="Q117" s="113"/>
      <c r="R117" s="114" t="s">
        <v>186</v>
      </c>
      <c r="T117" s="104">
        <f>+U117*V117</f>
        <v>288.89932500000003</v>
      </c>
      <c r="U117" s="96">
        <f>0.078*91.25</f>
        <v>7.1174999999999997</v>
      </c>
      <c r="V117" s="108">
        <v>40.590000000000003</v>
      </c>
      <c r="W117" s="106">
        <f>+X117*Y117</f>
        <v>278.94212500000003</v>
      </c>
      <c r="X117" s="107">
        <f>0.077*91.25</f>
        <v>7.0262500000000001</v>
      </c>
      <c r="Y117" s="109">
        <v>39.700000000000003</v>
      </c>
      <c r="Z117" s="100">
        <f>+AA117*AB117</f>
        <v>298.15390000000002</v>
      </c>
      <c r="AA117" s="97">
        <f>0.079*91.25</f>
        <v>7.2087500000000002</v>
      </c>
      <c r="AB117" s="110">
        <v>41.36</v>
      </c>
      <c r="AC117" s="101">
        <f t="shared" si="7"/>
        <v>-61.882100000000037</v>
      </c>
      <c r="AD117" s="98">
        <f t="shared" si="7"/>
        <v>-0.54750000000000032</v>
      </c>
      <c r="AE117" s="111">
        <f>+AC117/AD117</f>
        <v>113.02666666666667</v>
      </c>
      <c r="AF117" s="102">
        <f>+AG117*AH117</f>
        <v>804.11324999999999</v>
      </c>
      <c r="AG117" s="99">
        <f>0.057*365</f>
        <v>20.805</v>
      </c>
      <c r="AH117" s="113">
        <v>38.65</v>
      </c>
    </row>
    <row r="118" spans="1:34" x14ac:dyDescent="0.3">
      <c r="A118" s="43" t="s">
        <v>56</v>
      </c>
      <c r="B118" s="53">
        <v>2014</v>
      </c>
      <c r="C118" s="104"/>
      <c r="D118" s="96"/>
      <c r="E118" s="108"/>
      <c r="F118" s="106"/>
      <c r="G118" s="107"/>
      <c r="H118" s="109"/>
      <c r="I118" s="100"/>
      <c r="J118" s="97"/>
      <c r="K118" s="110"/>
      <c r="L118" s="101"/>
      <c r="M118" s="98"/>
      <c r="N118" s="111"/>
      <c r="O118" s="102"/>
      <c r="P118" s="99"/>
      <c r="Q118" s="113"/>
      <c r="R118" t="s">
        <v>182</v>
      </c>
      <c r="T118" s="104">
        <f>+U118*V118</f>
        <v>319.53468749999996</v>
      </c>
      <c r="U118" s="96">
        <f>0.075*91.25</f>
        <v>6.84375</v>
      </c>
      <c r="V118" s="108">
        <v>46.69</v>
      </c>
      <c r="W118" s="106">
        <f>+X118*Y118</f>
        <v>288.48869999999994</v>
      </c>
      <c r="X118" s="107">
        <f>0.072*91.25</f>
        <v>6.5699999999999994</v>
      </c>
      <c r="Y118" s="109">
        <v>43.91</v>
      </c>
      <c r="Z118" s="100">
        <f>+AA118*AB118</f>
        <v>278.81072499999999</v>
      </c>
      <c r="AA118" s="97">
        <f>0.074*91.25</f>
        <v>6.7524999999999995</v>
      </c>
      <c r="AB118" s="110">
        <v>41.29</v>
      </c>
      <c r="AC118" s="101">
        <f t="shared" si="7"/>
        <v>-128.19986249999994</v>
      </c>
      <c r="AD118" s="98">
        <f t="shared" si="7"/>
        <v>-9.1249999999999609E-2</v>
      </c>
      <c r="AE118" s="111">
        <f>+AC118/AD118</f>
        <v>1404.9300000000053</v>
      </c>
      <c r="AF118" s="102">
        <f>+AG118*AH118</f>
        <v>758.63424999999995</v>
      </c>
      <c r="AG118" s="99">
        <f>0.055*365</f>
        <v>20.074999999999999</v>
      </c>
      <c r="AH118" s="113">
        <v>37.79</v>
      </c>
    </row>
    <row r="119" spans="1:34" x14ac:dyDescent="0.3">
      <c r="A119" s="41" t="s">
        <v>56</v>
      </c>
      <c r="B119" s="42">
        <v>2015</v>
      </c>
      <c r="C119" s="188"/>
      <c r="D119" s="183"/>
      <c r="E119" s="189"/>
      <c r="F119" s="190"/>
      <c r="G119" s="184"/>
      <c r="H119" s="191"/>
      <c r="I119" s="192"/>
      <c r="J119" s="185"/>
      <c r="K119" s="193"/>
      <c r="L119" s="194"/>
      <c r="M119" s="186"/>
      <c r="N119" s="195"/>
      <c r="O119" s="196"/>
      <c r="P119" s="187"/>
      <c r="Q119" s="197"/>
    </row>
    <row r="120" spans="1:34" x14ac:dyDescent="0.3">
      <c r="A120" s="131" t="s">
        <v>59</v>
      </c>
      <c r="B120" s="82">
        <v>2007</v>
      </c>
      <c r="C120" s="104"/>
      <c r="D120" s="93"/>
      <c r="E120" s="108"/>
      <c r="F120" s="106"/>
      <c r="G120" s="105"/>
      <c r="H120" s="109"/>
      <c r="I120" s="100"/>
      <c r="J120" s="94"/>
      <c r="K120" s="110"/>
      <c r="L120" s="101"/>
      <c r="M120" s="98"/>
      <c r="N120" s="111"/>
      <c r="O120" s="102"/>
      <c r="P120" s="95"/>
      <c r="Q120" s="112"/>
    </row>
    <row r="121" spans="1:34" x14ac:dyDescent="0.3">
      <c r="A121" s="131" t="s">
        <v>59</v>
      </c>
      <c r="B121" s="16">
        <v>2008</v>
      </c>
      <c r="C121" s="104"/>
      <c r="D121" s="93"/>
      <c r="E121" s="108"/>
      <c r="F121" s="106"/>
      <c r="G121" s="105"/>
      <c r="H121" s="109"/>
      <c r="I121" s="100"/>
      <c r="J121" s="94"/>
      <c r="K121" s="110"/>
      <c r="L121" s="101"/>
      <c r="M121" s="98"/>
      <c r="N121" s="111"/>
      <c r="O121" s="102"/>
      <c r="P121" s="95"/>
      <c r="Q121" s="112"/>
    </row>
    <row r="122" spans="1:34" x14ac:dyDescent="0.3">
      <c r="A122" s="131" t="s">
        <v>59</v>
      </c>
      <c r="B122" s="53">
        <v>2009</v>
      </c>
      <c r="C122" s="104"/>
      <c r="D122" s="93"/>
      <c r="E122" s="108"/>
      <c r="F122" s="106"/>
      <c r="G122" s="105"/>
      <c r="H122" s="109"/>
      <c r="I122" s="100"/>
      <c r="J122" s="94"/>
      <c r="K122" s="110"/>
      <c r="L122" s="101"/>
      <c r="M122" s="98"/>
      <c r="N122" s="111"/>
      <c r="O122" s="102"/>
      <c r="P122" s="95"/>
      <c r="Q122" s="112"/>
    </row>
    <row r="123" spans="1:34" x14ac:dyDescent="0.3">
      <c r="A123" s="131" t="s">
        <v>59</v>
      </c>
      <c r="B123" s="16">
        <v>2010</v>
      </c>
      <c r="C123" s="104"/>
      <c r="D123" s="93"/>
      <c r="E123" s="108"/>
      <c r="F123" s="106"/>
      <c r="G123" s="105"/>
      <c r="H123" s="109"/>
      <c r="I123" s="100"/>
      <c r="J123" s="94"/>
      <c r="K123" s="110"/>
      <c r="L123" s="101"/>
      <c r="M123" s="98"/>
      <c r="N123" s="111"/>
      <c r="O123" s="102"/>
      <c r="P123" s="95"/>
      <c r="Q123" s="112"/>
    </row>
    <row r="124" spans="1:34" x14ac:dyDescent="0.3">
      <c r="A124" s="131" t="s">
        <v>59</v>
      </c>
      <c r="B124" s="53">
        <v>2011</v>
      </c>
      <c r="C124" s="104"/>
      <c r="D124" s="93"/>
      <c r="E124" s="108"/>
      <c r="F124" s="106"/>
      <c r="G124" s="105"/>
      <c r="H124" s="109"/>
      <c r="I124" s="100"/>
      <c r="J124" s="94"/>
      <c r="K124" s="110"/>
      <c r="L124" s="101"/>
      <c r="M124" s="98"/>
      <c r="N124" s="111"/>
      <c r="O124" s="102"/>
      <c r="P124" s="95"/>
      <c r="Q124" s="112"/>
    </row>
    <row r="125" spans="1:34" x14ac:dyDescent="0.3">
      <c r="A125" s="131" t="s">
        <v>59</v>
      </c>
      <c r="B125" s="16">
        <v>2012</v>
      </c>
      <c r="C125" s="104">
        <f>+D125*E125</f>
        <v>104.85974131249999</v>
      </c>
      <c r="D125" s="93">
        <f>0.027485*91.25</f>
        <v>2.5080062499999998</v>
      </c>
      <c r="E125" s="108">
        <v>41.81</v>
      </c>
      <c r="F125" s="106">
        <f>+G125*H125</f>
        <v>80.248462000000004</v>
      </c>
      <c r="G125" s="105">
        <f>0.02696*91.25</f>
        <v>2.4601000000000002</v>
      </c>
      <c r="H125" s="109">
        <v>32.619999999999997</v>
      </c>
      <c r="I125" s="100">
        <f>+J125*K125</f>
        <v>92.731082400000005</v>
      </c>
      <c r="J125" s="94">
        <f>0.032824*91.25</f>
        <v>2.99519</v>
      </c>
      <c r="K125" s="110">
        <v>30.96</v>
      </c>
      <c r="L125" s="101">
        <f t="shared" ref="L125:M127" si="8">+O125-C125-F125-I125</f>
        <v>90.474464287500027</v>
      </c>
      <c r="M125" s="98">
        <f t="shared" si="8"/>
        <v>2.9497037500000003</v>
      </c>
      <c r="N125" s="111">
        <f>+L125/M125</f>
        <v>30.672390163757978</v>
      </c>
      <c r="O125" s="102">
        <f>+P125*Q125</f>
        <v>368.31375000000003</v>
      </c>
      <c r="P125" s="95">
        <v>10.913</v>
      </c>
      <c r="Q125" s="112">
        <v>33.75</v>
      </c>
    </row>
    <row r="126" spans="1:34" x14ac:dyDescent="0.3">
      <c r="A126" s="43" t="s">
        <v>59</v>
      </c>
      <c r="B126" s="53">
        <v>2013</v>
      </c>
      <c r="C126" s="104">
        <f>+D126*E126</f>
        <v>84.341267224999996</v>
      </c>
      <c r="D126" s="96">
        <f>0.029951*91.25</f>
        <v>2.7330287499999999</v>
      </c>
      <c r="E126" s="108">
        <v>30.86</v>
      </c>
      <c r="F126" s="106">
        <f>+G126*H126</f>
        <v>81.334112524999995</v>
      </c>
      <c r="G126" s="107">
        <f>0.031231*91.25</f>
        <v>2.8498287499999999</v>
      </c>
      <c r="H126" s="109">
        <v>28.54</v>
      </c>
      <c r="I126" s="100">
        <f>+J126*K126</f>
        <v>88.751674462500006</v>
      </c>
      <c r="J126" s="97">
        <f>0.031507*91.25</f>
        <v>2.8750137499999999</v>
      </c>
      <c r="K126" s="110">
        <v>30.87</v>
      </c>
      <c r="L126" s="101">
        <f t="shared" si="8"/>
        <v>132.81315578750002</v>
      </c>
      <c r="M126" s="98">
        <f t="shared" si="8"/>
        <v>4.5411287499999995</v>
      </c>
      <c r="N126" s="111">
        <f>+L126/M126</f>
        <v>29.246727652788977</v>
      </c>
      <c r="O126" s="102">
        <f>+P126*Q126</f>
        <v>387.24020999999999</v>
      </c>
      <c r="P126" s="99">
        <v>12.999000000000001</v>
      </c>
      <c r="Q126" s="113">
        <v>29.79</v>
      </c>
      <c r="R126" s="135" t="s">
        <v>205</v>
      </c>
    </row>
    <row r="127" spans="1:34" x14ac:dyDescent="0.3">
      <c r="A127" s="43" t="s">
        <v>59</v>
      </c>
      <c r="B127" s="53">
        <v>2014</v>
      </c>
      <c r="C127" s="104">
        <f>+D127*E127</f>
        <v>100.317653025</v>
      </c>
      <c r="D127" s="96">
        <f>0.033497*91.25</f>
        <v>3.0566012499999999</v>
      </c>
      <c r="E127" s="108">
        <v>32.82</v>
      </c>
      <c r="F127" s="106">
        <f>+G127*H127</f>
        <v>106.43557679999999</v>
      </c>
      <c r="G127" s="107">
        <f>0.038572*91.25</f>
        <v>3.519695</v>
      </c>
      <c r="H127" s="109">
        <v>30.24</v>
      </c>
      <c r="I127" s="100">
        <f>+J127*K127</f>
        <v>103.33627785</v>
      </c>
      <c r="J127" s="97">
        <f>0.039819*91.25</f>
        <v>3.6334837499999999</v>
      </c>
      <c r="K127" s="110">
        <v>28.44</v>
      </c>
      <c r="L127" s="101">
        <f t="shared" si="8"/>
        <v>121.76189232500001</v>
      </c>
      <c r="M127" s="98">
        <f t="shared" si="8"/>
        <v>5.5512199999999989</v>
      </c>
      <c r="N127" s="111">
        <f>+L127/M127</f>
        <v>21.934258113531804</v>
      </c>
      <c r="O127" s="102">
        <f>+P127*Q127</f>
        <v>431.85139999999996</v>
      </c>
      <c r="P127" s="99">
        <v>15.760999999999999</v>
      </c>
      <c r="Q127" s="113">
        <v>27.4</v>
      </c>
      <c r="R127" t="s">
        <v>183</v>
      </c>
    </row>
    <row r="128" spans="1:34" x14ac:dyDescent="0.3">
      <c r="A128" s="41" t="s">
        <v>59</v>
      </c>
      <c r="B128" s="42">
        <v>2015</v>
      </c>
      <c r="C128" s="188">
        <f>+D128*E128</f>
        <v>48.404474999999998</v>
      </c>
      <c r="D128" s="183">
        <f>0.035364*91.25</f>
        <v>3.2269649999999999</v>
      </c>
      <c r="E128" s="189">
        <v>15</v>
      </c>
      <c r="F128" s="190">
        <f>+G128*H128</f>
        <v>46.932226512499994</v>
      </c>
      <c r="G128" s="184">
        <f>0.036659*91.25</f>
        <v>3.3451337499999996</v>
      </c>
      <c r="H128" s="191">
        <v>14.03</v>
      </c>
      <c r="I128" s="192">
        <f>+J128*K128</f>
        <v>47.051659987500003</v>
      </c>
      <c r="J128" s="185">
        <f>0.041617*91.25</f>
        <v>3.7975512500000002</v>
      </c>
      <c r="K128" s="193">
        <v>12.39</v>
      </c>
      <c r="L128" s="194">
        <f>+O128-C128-F128-I128</f>
        <v>45.096298500000032</v>
      </c>
      <c r="M128" s="186">
        <f>+P128-D128-G128-J128</f>
        <v>3.7163500000000007</v>
      </c>
      <c r="N128" s="195">
        <f>+L128/M128</f>
        <v>12.134567115583845</v>
      </c>
      <c r="O128" s="196">
        <f>+P128*Q128</f>
        <v>187.48466000000002</v>
      </c>
      <c r="P128" s="187">
        <v>14.086</v>
      </c>
      <c r="Q128" s="197">
        <v>13.31</v>
      </c>
    </row>
    <row r="129" spans="1:18" x14ac:dyDescent="0.3">
      <c r="A129" s="131" t="s">
        <v>63</v>
      </c>
      <c r="B129" s="82">
        <v>2007</v>
      </c>
      <c r="C129" s="104"/>
      <c r="D129" s="93"/>
      <c r="E129" s="108"/>
      <c r="F129" s="106"/>
      <c r="G129" s="105"/>
      <c r="H129" s="109"/>
      <c r="I129" s="100"/>
      <c r="J129" s="94"/>
      <c r="K129" s="110"/>
      <c r="L129" s="101"/>
      <c r="M129" s="98"/>
      <c r="N129" s="111"/>
      <c r="O129" s="102"/>
      <c r="P129" s="95"/>
      <c r="Q129" s="112"/>
    </row>
    <row r="130" spans="1:18" x14ac:dyDescent="0.3">
      <c r="A130" s="131" t="s">
        <v>63</v>
      </c>
      <c r="B130" s="16">
        <v>2008</v>
      </c>
      <c r="C130" s="104"/>
      <c r="D130" s="93"/>
      <c r="E130" s="108"/>
      <c r="F130" s="106"/>
      <c r="G130" s="105"/>
      <c r="H130" s="109"/>
      <c r="I130" s="100"/>
      <c r="J130" s="94"/>
      <c r="K130" s="110"/>
      <c r="L130" s="101"/>
      <c r="M130" s="98"/>
      <c r="N130" s="111"/>
      <c r="O130" s="102"/>
      <c r="P130" s="95"/>
      <c r="Q130" s="112"/>
    </row>
    <row r="131" spans="1:18" x14ac:dyDescent="0.3">
      <c r="A131" s="131" t="s">
        <v>63</v>
      </c>
      <c r="B131" s="53">
        <v>2009</v>
      </c>
      <c r="C131" s="104"/>
      <c r="D131" s="93"/>
      <c r="E131" s="108"/>
      <c r="F131" s="106"/>
      <c r="G131" s="105"/>
      <c r="H131" s="109"/>
      <c r="I131" s="100"/>
      <c r="J131" s="94"/>
      <c r="K131" s="110"/>
      <c r="L131" s="101"/>
      <c r="M131" s="98"/>
      <c r="N131" s="111"/>
      <c r="O131" s="102"/>
      <c r="P131" s="95"/>
      <c r="Q131" s="112"/>
    </row>
    <row r="132" spans="1:18" x14ac:dyDescent="0.3">
      <c r="A132" s="131" t="s">
        <v>63</v>
      </c>
      <c r="B132" s="16">
        <v>2010</v>
      </c>
      <c r="C132" s="104"/>
      <c r="D132" s="93"/>
      <c r="E132" s="108"/>
      <c r="F132" s="106"/>
      <c r="G132" s="105"/>
      <c r="H132" s="109"/>
      <c r="I132" s="100"/>
      <c r="J132" s="94"/>
      <c r="K132" s="110"/>
      <c r="L132" s="101"/>
      <c r="M132" s="98"/>
      <c r="N132" s="111"/>
      <c r="O132" s="102"/>
      <c r="P132" s="95"/>
      <c r="Q132" s="112"/>
    </row>
    <row r="133" spans="1:18" x14ac:dyDescent="0.3">
      <c r="A133" s="131" t="s">
        <v>63</v>
      </c>
      <c r="B133" s="53">
        <v>2011</v>
      </c>
      <c r="C133" s="104"/>
      <c r="D133" s="93"/>
      <c r="E133" s="108"/>
      <c r="F133" s="106"/>
      <c r="G133" s="105"/>
      <c r="H133" s="109"/>
      <c r="I133" s="100"/>
      <c r="J133" s="94"/>
      <c r="K133" s="110"/>
      <c r="L133" s="101"/>
      <c r="M133" s="98"/>
      <c r="N133" s="111"/>
      <c r="O133" s="102"/>
      <c r="P133" s="95"/>
      <c r="Q133" s="112"/>
    </row>
    <row r="134" spans="1:18" x14ac:dyDescent="0.3">
      <c r="A134" s="131" t="s">
        <v>63</v>
      </c>
      <c r="B134" s="16">
        <v>2012</v>
      </c>
      <c r="C134" s="104">
        <f>+D134*E134</f>
        <v>69.784530459999999</v>
      </c>
      <c r="D134" s="93">
        <v>1.560826</v>
      </c>
      <c r="E134" s="108">
        <v>44.71</v>
      </c>
      <c r="F134" s="106">
        <f>+G134*H134</f>
        <v>66.436083899999986</v>
      </c>
      <c r="G134" s="105">
        <v>1.5705929999999999</v>
      </c>
      <c r="H134" s="109">
        <v>42.3</v>
      </c>
      <c r="I134" s="100">
        <f>+J134*K134</f>
        <v>71.515842929999991</v>
      </c>
      <c r="J134" s="94">
        <v>1.8436669999999999</v>
      </c>
      <c r="K134" s="110">
        <v>38.79</v>
      </c>
      <c r="L134" s="101">
        <f t="shared" ref="L134:M136" si="9">+O134-C134-F134-I134</f>
        <v>78.119552710000022</v>
      </c>
      <c r="M134" s="98">
        <f t="shared" si="9"/>
        <v>1.9919140000000004</v>
      </c>
      <c r="N134" s="111">
        <f>+L134/M134</f>
        <v>39.218336087802989</v>
      </c>
      <c r="O134" s="102">
        <f>+P134*Q134</f>
        <v>285.85600999999997</v>
      </c>
      <c r="P134" s="95">
        <v>6.9669999999999996</v>
      </c>
      <c r="Q134" s="112">
        <v>41.03</v>
      </c>
    </row>
    <row r="135" spans="1:18" x14ac:dyDescent="0.3">
      <c r="A135" s="43" t="s">
        <v>63</v>
      </c>
      <c r="B135" s="53">
        <v>2013</v>
      </c>
      <c r="C135" s="104">
        <f>+D135*E135</f>
        <v>63.503540639999997</v>
      </c>
      <c r="D135" s="96">
        <v>1.889424</v>
      </c>
      <c r="E135" s="108">
        <v>33.61</v>
      </c>
      <c r="F135" s="106">
        <f>+G135*H135</f>
        <v>69.620742989999997</v>
      </c>
      <c r="G135" s="107">
        <v>2.1154890000000002</v>
      </c>
      <c r="H135" s="109">
        <v>32.909999999999997</v>
      </c>
      <c r="I135" s="100">
        <f>+J135*K135</f>
        <v>73.4215272</v>
      </c>
      <c r="J135" s="97">
        <v>2.3623400000000001</v>
      </c>
      <c r="K135" s="110">
        <v>31.08</v>
      </c>
      <c r="L135" s="101">
        <f t="shared" si="9"/>
        <v>63.47523917000008</v>
      </c>
      <c r="M135" s="98">
        <f t="shared" si="9"/>
        <v>1.8877470000000005</v>
      </c>
      <c r="N135" s="111">
        <f>+L135/M135</f>
        <v>33.624865604342141</v>
      </c>
      <c r="O135" s="102">
        <f>+P135*Q135</f>
        <v>270.02105000000006</v>
      </c>
      <c r="P135" s="99">
        <v>8.2550000000000008</v>
      </c>
      <c r="Q135" s="113">
        <v>32.71</v>
      </c>
    </row>
    <row r="136" spans="1:18" x14ac:dyDescent="0.3">
      <c r="A136" s="43" t="s">
        <v>63</v>
      </c>
      <c r="B136" s="53">
        <v>2014</v>
      </c>
      <c r="C136" s="104">
        <f>+D136*E136</f>
        <v>113.35204335</v>
      </c>
      <c r="D136" s="96">
        <v>4.4714809999999998</v>
      </c>
      <c r="E136" s="108">
        <v>25.35</v>
      </c>
      <c r="F136" s="106">
        <f>+G136*H136</f>
        <v>108.82058636000001</v>
      </c>
      <c r="G136" s="107">
        <v>4.4708540000000001</v>
      </c>
      <c r="H136" s="109">
        <v>24.34</v>
      </c>
      <c r="I136" s="100">
        <f>+J136*K136</f>
        <v>111.18289146000001</v>
      </c>
      <c r="J136" s="97">
        <v>4.934882</v>
      </c>
      <c r="K136" s="110">
        <v>22.53</v>
      </c>
      <c r="L136" s="101">
        <f t="shared" si="9"/>
        <v>124.18298883000006</v>
      </c>
      <c r="M136" s="98">
        <f t="shared" si="9"/>
        <v>4.9437830000000016</v>
      </c>
      <c r="N136" s="111">
        <f>+L136/M136</f>
        <v>25.119020966332869</v>
      </c>
      <c r="O136" s="102">
        <f>+P136*Q136</f>
        <v>457.53851000000003</v>
      </c>
      <c r="P136" s="99">
        <v>18.821000000000002</v>
      </c>
      <c r="Q136" s="113">
        <v>24.31</v>
      </c>
      <c r="R136" s="114" t="s">
        <v>183</v>
      </c>
    </row>
    <row r="137" spans="1:18" x14ac:dyDescent="0.3">
      <c r="A137" s="41" t="s">
        <v>63</v>
      </c>
      <c r="B137" s="42">
        <v>2015</v>
      </c>
      <c r="C137" s="188">
        <f>+D137*E137</f>
        <v>65.383167200000003</v>
      </c>
      <c r="D137" s="183">
        <v>5.3592760000000004</v>
      </c>
      <c r="E137" s="189">
        <v>12.2</v>
      </c>
      <c r="F137" s="190">
        <f>+G137*H137</f>
        <v>50.89811619000001</v>
      </c>
      <c r="G137" s="184">
        <v>5.1051270000000004</v>
      </c>
      <c r="H137" s="191">
        <v>9.9700000000000006</v>
      </c>
      <c r="I137" s="192">
        <f>+J137*K137</f>
        <v>47.109119399999997</v>
      </c>
      <c r="J137" s="185">
        <v>4.9850919999999999</v>
      </c>
      <c r="K137" s="193">
        <v>9.4499999999999993</v>
      </c>
      <c r="L137" s="194">
        <f>+O137-C137-F137-I137</f>
        <v>55.029477210000024</v>
      </c>
      <c r="M137" s="186">
        <f>+P137-D137-G137-J137</f>
        <v>4.906505000000001</v>
      </c>
      <c r="N137" s="195">
        <f>+L137/M137</f>
        <v>11.215616250263682</v>
      </c>
      <c r="O137" s="196">
        <f>+P137*Q137</f>
        <v>218.41988000000003</v>
      </c>
      <c r="P137" s="187">
        <v>20.356000000000002</v>
      </c>
      <c r="Q137" s="197">
        <v>10.73</v>
      </c>
      <c r="R137" s="114"/>
    </row>
    <row r="138" spans="1:18" x14ac:dyDescent="0.3">
      <c r="A138" s="131" t="s">
        <v>67</v>
      </c>
      <c r="B138" s="82">
        <v>2007</v>
      </c>
      <c r="C138" s="104"/>
      <c r="D138" s="93"/>
      <c r="E138" s="108"/>
      <c r="F138" s="106"/>
      <c r="G138" s="105"/>
      <c r="H138" s="109"/>
      <c r="I138" s="100"/>
      <c r="J138" s="94"/>
      <c r="K138" s="110"/>
      <c r="L138" s="101"/>
      <c r="M138" s="98"/>
      <c r="N138" s="111"/>
      <c r="O138" s="102"/>
      <c r="P138" s="95"/>
      <c r="Q138" s="112"/>
    </row>
    <row r="139" spans="1:18" x14ac:dyDescent="0.3">
      <c r="A139" s="131" t="s">
        <v>67</v>
      </c>
      <c r="B139" s="16">
        <v>2008</v>
      </c>
      <c r="C139" s="104"/>
      <c r="D139" s="93"/>
      <c r="E139" s="108"/>
      <c r="F139" s="106"/>
      <c r="G139" s="105"/>
      <c r="H139" s="109"/>
      <c r="I139" s="100"/>
      <c r="J139" s="94"/>
      <c r="K139" s="110"/>
      <c r="L139" s="101"/>
      <c r="M139" s="98"/>
      <c r="N139" s="111"/>
      <c r="O139" s="102"/>
      <c r="P139" s="95"/>
      <c r="Q139" s="112"/>
    </row>
    <row r="140" spans="1:18" x14ac:dyDescent="0.3">
      <c r="A140" s="131" t="s">
        <v>67</v>
      </c>
      <c r="B140" s="53">
        <v>2009</v>
      </c>
      <c r="C140" s="104"/>
      <c r="D140" s="93"/>
      <c r="E140" s="108"/>
      <c r="F140" s="106"/>
      <c r="G140" s="105"/>
      <c r="H140" s="109"/>
      <c r="I140" s="100"/>
      <c r="J140" s="94"/>
      <c r="K140" s="110"/>
      <c r="L140" s="101"/>
      <c r="M140" s="98"/>
      <c r="N140" s="111"/>
      <c r="O140" s="102"/>
      <c r="P140" s="95"/>
      <c r="Q140" s="112"/>
    </row>
    <row r="141" spans="1:18" x14ac:dyDescent="0.3">
      <c r="A141" s="131" t="s">
        <v>67</v>
      </c>
      <c r="B141" s="16">
        <v>2010</v>
      </c>
      <c r="C141" s="104"/>
      <c r="D141" s="93"/>
      <c r="E141" s="108"/>
      <c r="F141" s="106"/>
      <c r="G141" s="105"/>
      <c r="H141" s="109"/>
      <c r="I141" s="100"/>
      <c r="J141" s="94"/>
      <c r="K141" s="110"/>
      <c r="L141" s="101"/>
      <c r="M141" s="98"/>
      <c r="N141" s="111"/>
      <c r="O141" s="102"/>
      <c r="P141" s="95"/>
      <c r="Q141" s="112"/>
    </row>
    <row r="142" spans="1:18" x14ac:dyDescent="0.3">
      <c r="A142" s="131" t="s">
        <v>67</v>
      </c>
      <c r="B142" s="53">
        <v>2011</v>
      </c>
      <c r="C142" s="104"/>
      <c r="D142" s="93"/>
      <c r="E142" s="108"/>
      <c r="F142" s="106"/>
      <c r="G142" s="105"/>
      <c r="H142" s="109"/>
      <c r="I142" s="100"/>
      <c r="J142" s="94"/>
      <c r="K142" s="110"/>
      <c r="L142" s="101"/>
      <c r="M142" s="98"/>
      <c r="N142" s="111"/>
      <c r="O142" s="102"/>
      <c r="P142" s="95"/>
      <c r="Q142" s="112"/>
    </row>
    <row r="143" spans="1:18" x14ac:dyDescent="0.3">
      <c r="A143" s="131" t="s">
        <v>67</v>
      </c>
      <c r="B143" s="16">
        <v>2012</v>
      </c>
      <c r="C143" s="104">
        <v>0</v>
      </c>
      <c r="D143" s="93">
        <v>0</v>
      </c>
      <c r="E143" s="108">
        <v>0</v>
      </c>
      <c r="F143" s="106">
        <v>0</v>
      </c>
      <c r="G143" s="105">
        <v>0</v>
      </c>
      <c r="H143" s="109">
        <v>0</v>
      </c>
      <c r="I143" s="100">
        <v>0</v>
      </c>
      <c r="J143" s="94">
        <v>0</v>
      </c>
      <c r="K143" s="110">
        <v>0</v>
      </c>
      <c r="L143" s="101">
        <f t="shared" ref="L143:M145" si="10">+O143-C143-F143-I143</f>
        <v>0</v>
      </c>
      <c r="M143" s="98">
        <f t="shared" si="10"/>
        <v>0</v>
      </c>
      <c r="N143" s="111">
        <v>0</v>
      </c>
      <c r="O143" s="102">
        <v>0</v>
      </c>
      <c r="P143" s="95">
        <v>0</v>
      </c>
      <c r="Q143" s="112">
        <v>0</v>
      </c>
    </row>
    <row r="144" spans="1:18" x14ac:dyDescent="0.3">
      <c r="A144" s="43" t="s">
        <v>67</v>
      </c>
      <c r="B144" s="53">
        <v>2013</v>
      </c>
      <c r="C144" s="104">
        <f>+D144*E144</f>
        <v>0.95940000000000003</v>
      </c>
      <c r="D144" s="96">
        <v>0.02</v>
      </c>
      <c r="E144" s="108">
        <v>47.97</v>
      </c>
      <c r="F144" s="106">
        <f>+G144*H144</f>
        <v>0.30104000000000003</v>
      </c>
      <c r="G144" s="107">
        <v>8.0000000000000002E-3</v>
      </c>
      <c r="H144" s="109">
        <v>37.630000000000003</v>
      </c>
      <c r="I144" s="100">
        <f>+J144*K144</f>
        <v>0.50459999999999994</v>
      </c>
      <c r="J144" s="97">
        <v>1.2E-2</v>
      </c>
      <c r="K144" s="110">
        <v>42.05</v>
      </c>
      <c r="L144" s="101">
        <f t="shared" si="10"/>
        <v>0.41646000000000027</v>
      </c>
      <c r="M144" s="98">
        <f t="shared" si="10"/>
        <v>1.0000000000000002E-2</v>
      </c>
      <c r="N144" s="111">
        <f>+L144/M144</f>
        <v>41.646000000000022</v>
      </c>
      <c r="O144" s="102">
        <f>+P144*Q144</f>
        <v>2.1815000000000002</v>
      </c>
      <c r="P144" s="99">
        <v>0.05</v>
      </c>
      <c r="Q144" s="113">
        <v>43.63</v>
      </c>
    </row>
    <row r="145" spans="1:18" x14ac:dyDescent="0.3">
      <c r="A145" s="43" t="s">
        <v>67</v>
      </c>
      <c r="B145" s="53">
        <v>2014</v>
      </c>
      <c r="C145" s="104">
        <f>+D145*E145</f>
        <v>0.45143999999999995</v>
      </c>
      <c r="D145" s="96">
        <v>8.9999999999999993E-3</v>
      </c>
      <c r="E145" s="108">
        <v>50.16</v>
      </c>
      <c r="F145" s="106">
        <f>+G145*H145</f>
        <v>0.26446000000000003</v>
      </c>
      <c r="G145" s="107">
        <v>7.0000000000000001E-3</v>
      </c>
      <c r="H145" s="109">
        <v>37.78</v>
      </c>
      <c r="I145" s="100">
        <f>+J145*K145</f>
        <v>0.39127000000000001</v>
      </c>
      <c r="J145" s="97">
        <v>1.0999999999999999E-2</v>
      </c>
      <c r="K145" s="110">
        <v>35.57</v>
      </c>
      <c r="L145" s="101">
        <f t="shared" si="10"/>
        <v>2.5241500000000001</v>
      </c>
      <c r="M145" s="98">
        <f t="shared" si="10"/>
        <v>0.20399999999999999</v>
      </c>
      <c r="N145" s="111">
        <f>+L145/M145</f>
        <v>12.373284313725492</v>
      </c>
      <c r="O145" s="102">
        <f>+P145*Q145</f>
        <v>3.6313200000000001</v>
      </c>
      <c r="P145" s="99">
        <v>0.23100000000000001</v>
      </c>
      <c r="Q145" s="113">
        <v>15.72</v>
      </c>
      <c r="R145" t="s">
        <v>285</v>
      </c>
    </row>
    <row r="146" spans="1:18" x14ac:dyDescent="0.3">
      <c r="A146" s="41" t="s">
        <v>67</v>
      </c>
      <c r="B146" s="42">
        <v>2015</v>
      </c>
      <c r="C146" s="188">
        <f>+D146*E146</f>
        <v>18.278099999999998</v>
      </c>
      <c r="D146" s="183">
        <v>1.766</v>
      </c>
      <c r="E146" s="189">
        <v>10.35</v>
      </c>
      <c r="F146" s="190">
        <f>+G146*H146</f>
        <v>14.851979999999998</v>
      </c>
      <c r="G146" s="184">
        <v>2.5739999999999998</v>
      </c>
      <c r="H146" s="191">
        <v>5.77</v>
      </c>
      <c r="I146" s="192">
        <f>+J146*K146</f>
        <v>14.320479999999998</v>
      </c>
      <c r="J146" s="185">
        <v>3.0339999999999998</v>
      </c>
      <c r="K146" s="193">
        <v>4.72</v>
      </c>
      <c r="L146" s="194">
        <f>+O146-C146-F146-I146</f>
        <v>25.323040000000013</v>
      </c>
      <c r="M146" s="186">
        <f>+P146-D146-G146-J146</f>
        <v>3.3280000000000003</v>
      </c>
      <c r="N146" s="195">
        <f>+L146/M146</f>
        <v>7.6090865384615416</v>
      </c>
      <c r="O146" s="196">
        <f>+P146*Q146</f>
        <v>72.773600000000002</v>
      </c>
      <c r="P146" s="187">
        <v>10.702</v>
      </c>
      <c r="Q146" s="197">
        <v>6.8</v>
      </c>
    </row>
    <row r="147" spans="1:18" x14ac:dyDescent="0.3">
      <c r="A147" s="131" t="s">
        <v>69</v>
      </c>
      <c r="B147" s="82">
        <v>2007</v>
      </c>
      <c r="C147" s="104"/>
      <c r="D147" s="93"/>
      <c r="E147" s="108"/>
      <c r="F147" s="106"/>
      <c r="G147" s="105"/>
      <c r="H147" s="109"/>
      <c r="I147" s="100"/>
      <c r="J147" s="94"/>
      <c r="K147" s="110"/>
      <c r="L147" s="101"/>
      <c r="M147" s="98"/>
      <c r="N147" s="111"/>
      <c r="O147" s="102"/>
      <c r="P147" s="95"/>
      <c r="Q147" s="112"/>
    </row>
    <row r="148" spans="1:18" x14ac:dyDescent="0.3">
      <c r="A148" s="131" t="s">
        <v>69</v>
      </c>
      <c r="B148" s="16">
        <v>2008</v>
      </c>
      <c r="C148" s="104"/>
      <c r="D148" s="93"/>
      <c r="E148" s="108"/>
      <c r="F148" s="106"/>
      <c r="G148" s="105"/>
      <c r="H148" s="109"/>
      <c r="I148" s="100"/>
      <c r="J148" s="94"/>
      <c r="K148" s="110"/>
      <c r="L148" s="101"/>
      <c r="M148" s="98"/>
      <c r="N148" s="111"/>
      <c r="O148" s="102"/>
      <c r="P148" s="95"/>
      <c r="Q148" s="112"/>
    </row>
    <row r="149" spans="1:18" x14ac:dyDescent="0.3">
      <c r="A149" s="131" t="s">
        <v>69</v>
      </c>
      <c r="B149" s="53">
        <v>2009</v>
      </c>
      <c r="C149" s="104"/>
      <c r="D149" s="93"/>
      <c r="E149" s="108"/>
      <c r="F149" s="106"/>
      <c r="G149" s="105"/>
      <c r="H149" s="109"/>
      <c r="I149" s="100"/>
      <c r="J149" s="94"/>
      <c r="K149" s="110"/>
      <c r="L149" s="101"/>
      <c r="M149" s="98"/>
      <c r="N149" s="111"/>
      <c r="O149" s="102"/>
      <c r="P149" s="95"/>
      <c r="Q149" s="112"/>
    </row>
    <row r="150" spans="1:18" x14ac:dyDescent="0.3">
      <c r="A150" s="131" t="s">
        <v>69</v>
      </c>
      <c r="B150" s="16">
        <v>2010</v>
      </c>
      <c r="C150" s="104"/>
      <c r="D150" s="93"/>
      <c r="E150" s="108"/>
      <c r="F150" s="106"/>
      <c r="G150" s="105"/>
      <c r="H150" s="109"/>
      <c r="I150" s="100"/>
      <c r="J150" s="94"/>
      <c r="K150" s="110"/>
      <c r="L150" s="101"/>
      <c r="M150" s="98"/>
      <c r="N150" s="111"/>
      <c r="O150" s="102"/>
      <c r="P150" s="95"/>
      <c r="Q150" s="112"/>
    </row>
    <row r="151" spans="1:18" x14ac:dyDescent="0.3">
      <c r="A151" s="131" t="s">
        <v>69</v>
      </c>
      <c r="B151" s="53">
        <v>2011</v>
      </c>
      <c r="C151" s="104"/>
      <c r="D151" s="93"/>
      <c r="E151" s="108"/>
      <c r="F151" s="106"/>
      <c r="G151" s="105"/>
      <c r="H151" s="109"/>
      <c r="I151" s="100"/>
      <c r="J151" s="94"/>
      <c r="K151" s="110"/>
      <c r="L151" s="101"/>
      <c r="M151" s="98"/>
      <c r="N151" s="111"/>
      <c r="O151" s="102"/>
      <c r="P151" s="95"/>
      <c r="Q151" s="112"/>
    </row>
    <row r="152" spans="1:18" x14ac:dyDescent="0.3">
      <c r="A152" s="131" t="s">
        <v>69</v>
      </c>
      <c r="B152" s="16">
        <v>2012</v>
      </c>
      <c r="C152" s="104">
        <v>0</v>
      </c>
      <c r="D152" s="93">
        <v>0</v>
      </c>
      <c r="E152" s="108">
        <v>0</v>
      </c>
      <c r="F152" s="106">
        <v>0</v>
      </c>
      <c r="G152" s="105">
        <v>0</v>
      </c>
      <c r="H152" s="109">
        <v>0</v>
      </c>
      <c r="I152" s="100">
        <f>+J152*K152</f>
        <v>0</v>
      </c>
      <c r="J152" s="94">
        <v>0</v>
      </c>
      <c r="K152" s="110">
        <v>0</v>
      </c>
      <c r="L152" s="101">
        <v>0</v>
      </c>
      <c r="M152" s="98">
        <v>0</v>
      </c>
      <c r="N152" s="111">
        <v>0</v>
      </c>
      <c r="O152" s="102">
        <v>0</v>
      </c>
      <c r="P152" s="95">
        <v>0</v>
      </c>
      <c r="Q152" s="112">
        <v>0</v>
      </c>
      <c r="R152" t="s">
        <v>206</v>
      </c>
    </row>
    <row r="153" spans="1:18" x14ac:dyDescent="0.3">
      <c r="A153" s="43" t="s">
        <v>69</v>
      </c>
      <c r="B153" s="53">
        <v>2013</v>
      </c>
      <c r="C153" s="104">
        <v>0</v>
      </c>
      <c r="D153" s="96">
        <v>0</v>
      </c>
      <c r="E153" s="108">
        <v>0</v>
      </c>
      <c r="F153" s="106">
        <v>0</v>
      </c>
      <c r="G153" s="107">
        <v>0</v>
      </c>
      <c r="H153" s="109">
        <v>0</v>
      </c>
      <c r="I153" s="100">
        <v>0</v>
      </c>
      <c r="J153" s="97">
        <v>0</v>
      </c>
      <c r="K153" s="110">
        <v>0</v>
      </c>
      <c r="L153" s="101">
        <v>0</v>
      </c>
      <c r="M153" s="98">
        <v>0</v>
      </c>
      <c r="N153" s="111">
        <v>0</v>
      </c>
      <c r="O153" s="102">
        <v>0</v>
      </c>
      <c r="P153" s="99">
        <v>0</v>
      </c>
      <c r="Q153" s="113">
        <v>0</v>
      </c>
      <c r="R153" t="s">
        <v>197</v>
      </c>
    </row>
    <row r="154" spans="1:18" x14ac:dyDescent="0.3">
      <c r="A154" s="43" t="s">
        <v>69</v>
      </c>
      <c r="B154" s="53">
        <v>2014</v>
      </c>
      <c r="C154" s="104">
        <v>0</v>
      </c>
      <c r="D154" s="96">
        <v>0</v>
      </c>
      <c r="E154" s="108">
        <v>0</v>
      </c>
      <c r="F154" s="106">
        <v>0</v>
      </c>
      <c r="G154" s="107">
        <v>0</v>
      </c>
      <c r="H154" s="109">
        <v>0</v>
      </c>
      <c r="I154" s="100">
        <v>0</v>
      </c>
      <c r="J154" s="97">
        <v>0</v>
      </c>
      <c r="K154" s="110">
        <v>0</v>
      </c>
      <c r="L154" s="101">
        <v>0</v>
      </c>
      <c r="M154" s="98">
        <v>0</v>
      </c>
      <c r="N154" s="111">
        <v>0</v>
      </c>
      <c r="O154" s="102">
        <v>0</v>
      </c>
      <c r="P154" s="99">
        <v>0</v>
      </c>
      <c r="Q154" s="113">
        <v>0</v>
      </c>
      <c r="R154" t="s">
        <v>196</v>
      </c>
    </row>
    <row r="155" spans="1:18" x14ac:dyDescent="0.3">
      <c r="A155" s="41" t="s">
        <v>69</v>
      </c>
      <c r="B155" s="42">
        <v>2015</v>
      </c>
      <c r="C155" s="188">
        <v>0</v>
      </c>
      <c r="D155" s="183">
        <v>0</v>
      </c>
      <c r="E155" s="189">
        <v>0</v>
      </c>
      <c r="F155" s="190">
        <v>0</v>
      </c>
      <c r="G155" s="184">
        <v>0</v>
      </c>
      <c r="H155" s="191">
        <v>0</v>
      </c>
      <c r="I155" s="192">
        <v>0</v>
      </c>
      <c r="J155" s="185">
        <v>0</v>
      </c>
      <c r="K155" s="193">
        <v>0</v>
      </c>
      <c r="L155" s="194">
        <v>0</v>
      </c>
      <c r="M155" s="186">
        <v>0</v>
      </c>
      <c r="N155" s="195">
        <v>0</v>
      </c>
      <c r="O155" s="196">
        <v>0</v>
      </c>
      <c r="P155" s="187">
        <v>0</v>
      </c>
      <c r="Q155" s="197">
        <v>0</v>
      </c>
    </row>
    <row r="162" spans="18:18" x14ac:dyDescent="0.3">
      <c r="R162" s="117"/>
    </row>
    <row r="163" spans="18:18" x14ac:dyDescent="0.3">
      <c r="R163" s="114" t="s">
        <v>198</v>
      </c>
    </row>
  </sheetData>
  <mergeCells count="5">
    <mergeCell ref="C1:E1"/>
    <mergeCell ref="F1:H1"/>
    <mergeCell ref="I1:K1"/>
    <mergeCell ref="L1:N1"/>
    <mergeCell ref="O1:Q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opLeftCell="A25" workbookViewId="0">
      <selection activeCell="C44" sqref="C44"/>
    </sheetView>
  </sheetViews>
  <sheetFormatPr defaultRowHeight="14.4" x14ac:dyDescent="0.3"/>
  <cols>
    <col min="1" max="1" width="13.109375" bestFit="1" customWidth="1"/>
    <col min="2" max="2" width="23.109375" customWidth="1"/>
    <col min="3" max="3" width="21.109375" customWidth="1"/>
    <col min="4" max="4" width="17.88671875" customWidth="1"/>
    <col min="5" max="5" width="30.6640625" customWidth="1"/>
    <col min="6" max="6" width="35.6640625" bestFit="1" customWidth="1"/>
    <col min="7" max="7" width="28.5546875" bestFit="1" customWidth="1"/>
  </cols>
  <sheetData>
    <row r="1" spans="1:7" x14ac:dyDescent="0.3">
      <c r="A1" s="65" t="s">
        <v>73</v>
      </c>
      <c r="B1" s="225" t="s">
        <v>153</v>
      </c>
      <c r="C1" s="225" t="s">
        <v>151</v>
      </c>
      <c r="D1" s="225" t="s">
        <v>257</v>
      </c>
      <c r="E1" s="225" t="s">
        <v>152</v>
      </c>
      <c r="F1" s="225" t="s">
        <v>261</v>
      </c>
      <c r="G1" s="225" t="s">
        <v>256</v>
      </c>
    </row>
    <row r="2" spans="1:7" x14ac:dyDescent="0.3">
      <c r="A2" s="64">
        <v>2009</v>
      </c>
      <c r="B2" s="83">
        <v>18.159319304846328</v>
      </c>
      <c r="C2" s="83">
        <v>18.405070995252899</v>
      </c>
      <c r="D2" s="86">
        <v>1462.3529999999998</v>
      </c>
      <c r="E2" s="83">
        <v>21.329268651276404</v>
      </c>
      <c r="F2" s="83">
        <v>58105.630785121051</v>
      </c>
      <c r="G2" s="66">
        <v>31190.920000000002</v>
      </c>
    </row>
    <row r="3" spans="1:7" x14ac:dyDescent="0.3">
      <c r="A3" s="64">
        <v>2010</v>
      </c>
      <c r="B3" s="83">
        <v>16.394098560058588</v>
      </c>
      <c r="C3" s="83">
        <v>19.755992721928301</v>
      </c>
      <c r="D3" s="86">
        <v>1535.5901666666668</v>
      </c>
      <c r="E3" s="83">
        <v>39.040714313856085</v>
      </c>
      <c r="F3" s="83">
        <v>90287.645156531347</v>
      </c>
      <c r="G3" s="66">
        <v>59950.536999999997</v>
      </c>
    </row>
    <row r="4" spans="1:7" x14ac:dyDescent="0.3">
      <c r="A4" s="64">
        <v>2011</v>
      </c>
      <c r="B4" s="83">
        <v>13.638083608187033</v>
      </c>
      <c r="C4" s="83">
        <v>23.393975176540042</v>
      </c>
      <c r="D4" s="86">
        <v>1674.3801666666666</v>
      </c>
      <c r="E4" s="83">
        <v>39.915904004675973</v>
      </c>
      <c r="F4" s="83">
        <v>106004.80605509097</v>
      </c>
      <c r="G4" s="66">
        <v>66834.398000000016</v>
      </c>
    </row>
    <row r="5" spans="1:7" x14ac:dyDescent="0.3">
      <c r="A5" s="64">
        <v>2012</v>
      </c>
      <c r="B5" s="83">
        <v>18.334898266769663</v>
      </c>
      <c r="C5" s="83">
        <v>21.907129432560797</v>
      </c>
      <c r="D5" s="86">
        <v>1870.6436666666666</v>
      </c>
      <c r="E5" s="83">
        <v>39.766746775753305</v>
      </c>
      <c r="F5" s="83">
        <v>115369.84592786677</v>
      </c>
      <c r="G5" s="66">
        <v>74389.413</v>
      </c>
    </row>
    <row r="6" spans="1:7" x14ac:dyDescent="0.3">
      <c r="A6" s="64">
        <v>2013</v>
      </c>
      <c r="B6" s="83">
        <v>17.224964019033031</v>
      </c>
      <c r="C6" s="83">
        <v>20.936920763344681</v>
      </c>
      <c r="D6" s="86">
        <v>2012.1441666666669</v>
      </c>
      <c r="E6" s="83">
        <v>29.04569462178198</v>
      </c>
      <c r="F6" s="83">
        <v>100572.22798192622</v>
      </c>
      <c r="G6" s="66">
        <v>58444.124999999993</v>
      </c>
    </row>
    <row r="7" spans="1:7" x14ac:dyDescent="0.3">
      <c r="A7" s="64">
        <v>2014</v>
      </c>
      <c r="B7" s="83">
        <v>16.346031545188538</v>
      </c>
      <c r="C7" s="83">
        <v>20.751248190268907</v>
      </c>
      <c r="D7" s="86">
        <v>2134.8043333333335</v>
      </c>
      <c r="E7" s="83">
        <v>43.775967446196859</v>
      </c>
      <c r="F7" s="83">
        <v>137752.97955866155</v>
      </c>
      <c r="G7" s="66">
        <v>93453.125</v>
      </c>
    </row>
    <row r="8" spans="1:7" ht="15" thickBot="1" x14ac:dyDescent="0.35"/>
    <row r="9" spans="1:7" x14ac:dyDescent="0.3">
      <c r="B9" s="146" t="s">
        <v>260</v>
      </c>
      <c r="C9" s="147"/>
      <c r="D9" s="147"/>
      <c r="E9" s="148"/>
    </row>
    <row r="10" spans="1:7" x14ac:dyDescent="0.3">
      <c r="B10" s="149" t="s">
        <v>265</v>
      </c>
      <c r="C10" s="82" t="s">
        <v>258</v>
      </c>
      <c r="D10" s="82" t="s">
        <v>263</v>
      </c>
      <c r="E10" s="150" t="s">
        <v>259</v>
      </c>
    </row>
    <row r="11" spans="1:7" x14ac:dyDescent="0.3">
      <c r="B11" s="151">
        <f t="shared" ref="B11:B16" si="0">+SUM(B2:C2)</f>
        <v>36.564390300099227</v>
      </c>
      <c r="C11" s="84">
        <f t="shared" ref="C11:C16" si="1">+(B2+C2)*0.1</f>
        <v>3.6564390300099228</v>
      </c>
      <c r="D11" s="84">
        <f t="shared" ref="D11:D16" si="2">E2</f>
        <v>21.329268651276404</v>
      </c>
      <c r="E11" s="152">
        <f t="shared" ref="E11:E16" si="3">+C11/D11</f>
        <v>0.17142824209263785</v>
      </c>
      <c r="G11" s="83"/>
    </row>
    <row r="12" spans="1:7" x14ac:dyDescent="0.3">
      <c r="B12" s="151">
        <f t="shared" si="0"/>
        <v>36.150091281986889</v>
      </c>
      <c r="C12" s="84">
        <f t="shared" si="1"/>
        <v>3.6150091281986891</v>
      </c>
      <c r="D12" s="84">
        <f t="shared" si="2"/>
        <v>39.040714313856085</v>
      </c>
      <c r="E12" s="152">
        <f t="shared" si="3"/>
        <v>9.2595875657830187E-2</v>
      </c>
      <c r="G12" s="138"/>
    </row>
    <row r="13" spans="1:7" x14ac:dyDescent="0.3">
      <c r="B13" s="151">
        <f t="shared" si="0"/>
        <v>37.032058784727077</v>
      </c>
      <c r="C13" s="84">
        <f t="shared" si="1"/>
        <v>3.703205878472708</v>
      </c>
      <c r="D13" s="84">
        <f t="shared" si="2"/>
        <v>39.915904004675973</v>
      </c>
      <c r="E13" s="152">
        <f t="shared" si="3"/>
        <v>9.2775197526251532E-2</v>
      </c>
      <c r="G13" s="138"/>
    </row>
    <row r="14" spans="1:7" x14ac:dyDescent="0.3">
      <c r="B14" s="151">
        <f t="shared" si="0"/>
        <v>40.242027699330464</v>
      </c>
      <c r="C14" s="84">
        <f t="shared" si="1"/>
        <v>4.0242027699330469</v>
      </c>
      <c r="D14" s="84">
        <f t="shared" si="2"/>
        <v>39.766746775753305</v>
      </c>
      <c r="E14" s="152">
        <f t="shared" si="3"/>
        <v>0.10119517175055152</v>
      </c>
      <c r="G14" s="138"/>
    </row>
    <row r="15" spans="1:7" x14ac:dyDescent="0.3">
      <c r="B15" s="151">
        <f t="shared" si="0"/>
        <v>38.161884782377712</v>
      </c>
      <c r="C15" s="84">
        <f t="shared" si="1"/>
        <v>3.8161884782377715</v>
      </c>
      <c r="D15" s="84">
        <f t="shared" si="2"/>
        <v>29.04569462178198</v>
      </c>
      <c r="E15" s="152">
        <f t="shared" si="3"/>
        <v>0.13138568479529256</v>
      </c>
      <c r="G15" s="138"/>
    </row>
    <row r="16" spans="1:7" ht="15" thickBot="1" x14ac:dyDescent="0.35">
      <c r="B16" s="153">
        <f t="shared" si="0"/>
        <v>37.097279735457448</v>
      </c>
      <c r="C16" s="154">
        <f t="shared" si="1"/>
        <v>3.7097279735457449</v>
      </c>
      <c r="D16" s="154">
        <f t="shared" si="2"/>
        <v>43.775967446196859</v>
      </c>
      <c r="E16" s="155">
        <f t="shared" si="3"/>
        <v>8.4743483467389052E-2</v>
      </c>
      <c r="G16" s="138"/>
    </row>
    <row r="17" spans="2:5" ht="15" thickBot="1" x14ac:dyDescent="0.35">
      <c r="C17" s="67"/>
      <c r="D17" s="138"/>
    </row>
    <row r="18" spans="2:5" x14ac:dyDescent="0.3">
      <c r="B18" s="156" t="s">
        <v>262</v>
      </c>
      <c r="C18" s="147"/>
      <c r="D18" s="147"/>
      <c r="E18" s="148"/>
    </row>
    <row r="19" spans="2:5" x14ac:dyDescent="0.3">
      <c r="B19" s="149" t="s">
        <v>267</v>
      </c>
      <c r="C19" s="82" t="s">
        <v>258</v>
      </c>
      <c r="D19" s="82" t="s">
        <v>263</v>
      </c>
      <c r="E19" s="150" t="s">
        <v>259</v>
      </c>
    </row>
    <row r="20" spans="2:5" x14ac:dyDescent="0.3">
      <c r="B20" s="151">
        <f t="shared" ref="B20:B25" si="4">+F2/D2</f>
        <v>39.7343396465293</v>
      </c>
      <c r="C20" s="84">
        <f t="shared" ref="C20:C25" si="5">+B20*0.1</f>
        <v>3.97343396465293</v>
      </c>
      <c r="D20" s="84">
        <f t="shared" ref="D20:D25" si="6">G2/D2</f>
        <v>21.329268651276404</v>
      </c>
      <c r="E20" s="152">
        <f t="shared" ref="E20:E25" si="7">+C20/D20</f>
        <v>0.1862902113343276</v>
      </c>
    </row>
    <row r="21" spans="2:5" x14ac:dyDescent="0.3">
      <c r="B21" s="151">
        <f t="shared" si="4"/>
        <v>58.796707035784401</v>
      </c>
      <c r="C21" s="84">
        <f t="shared" si="5"/>
        <v>5.8796707035784408</v>
      </c>
      <c r="D21" s="84">
        <f t="shared" si="6"/>
        <v>39.040714313856085</v>
      </c>
      <c r="E21" s="152">
        <f t="shared" si="7"/>
        <v>0.15060356366204256</v>
      </c>
    </row>
    <row r="22" spans="2:5" x14ac:dyDescent="0.3">
      <c r="B22" s="151">
        <f t="shared" si="4"/>
        <v>63.309879181215997</v>
      </c>
      <c r="C22" s="84">
        <f t="shared" si="5"/>
        <v>6.3309879181216004</v>
      </c>
      <c r="D22" s="84">
        <f t="shared" si="6"/>
        <v>39.915904004675973</v>
      </c>
      <c r="E22" s="152">
        <f t="shared" si="7"/>
        <v>0.15860815572108683</v>
      </c>
    </row>
    <row r="23" spans="2:5" x14ac:dyDescent="0.3">
      <c r="B23" s="151">
        <f t="shared" si="4"/>
        <v>61.673876208314098</v>
      </c>
      <c r="C23" s="84">
        <f t="shared" si="5"/>
        <v>6.16738762083141</v>
      </c>
      <c r="D23" s="84">
        <f t="shared" si="6"/>
        <v>39.766746775753305</v>
      </c>
      <c r="E23" s="152">
        <f t="shared" si="7"/>
        <v>0.1550890661388426</v>
      </c>
    </row>
    <row r="24" spans="2:5" x14ac:dyDescent="0.3">
      <c r="B24" s="151">
        <f t="shared" si="4"/>
        <v>49.982615385126664</v>
      </c>
      <c r="C24" s="84">
        <f t="shared" si="5"/>
        <v>4.9982615385126667</v>
      </c>
      <c r="D24" s="84">
        <f t="shared" si="6"/>
        <v>29.04569462178198</v>
      </c>
      <c r="E24" s="152">
        <f t="shared" si="7"/>
        <v>0.17208269947052204</v>
      </c>
    </row>
    <row r="25" spans="2:5" ht="15" thickBot="1" x14ac:dyDescent="0.35">
      <c r="B25" s="153">
        <f t="shared" si="4"/>
        <v>64.527215636465769</v>
      </c>
      <c r="C25" s="154">
        <f t="shared" si="5"/>
        <v>6.4527215636465769</v>
      </c>
      <c r="D25" s="154">
        <f t="shared" si="6"/>
        <v>43.775967446196859</v>
      </c>
      <c r="E25" s="155">
        <f t="shared" si="7"/>
        <v>0.14740328860983681</v>
      </c>
    </row>
    <row r="26" spans="2:5" ht="15" thickBot="1" x14ac:dyDescent="0.35"/>
    <row r="27" spans="2:5" x14ac:dyDescent="0.3">
      <c r="B27" s="157" t="s">
        <v>264</v>
      </c>
      <c r="C27" s="158"/>
      <c r="D27" s="158"/>
      <c r="E27" s="159"/>
    </row>
    <row r="28" spans="2:5" x14ac:dyDescent="0.3">
      <c r="B28" s="160" t="s">
        <v>266</v>
      </c>
      <c r="C28" s="161" t="s">
        <v>258</v>
      </c>
      <c r="D28" s="161" t="s">
        <v>263</v>
      </c>
      <c r="E28" s="162" t="s">
        <v>259</v>
      </c>
    </row>
    <row r="29" spans="2:5" x14ac:dyDescent="0.3">
      <c r="B29" s="163">
        <f t="shared" ref="B29:E34" si="8">+B20-B11</f>
        <v>3.169949346430073</v>
      </c>
      <c r="C29" s="164">
        <f t="shared" si="8"/>
        <v>0.31699493464300721</v>
      </c>
      <c r="D29" s="164">
        <f t="shared" si="8"/>
        <v>0</v>
      </c>
      <c r="E29" s="165">
        <f t="shared" si="8"/>
        <v>1.4861969241689754E-2</v>
      </c>
    </row>
    <row r="30" spans="2:5" x14ac:dyDescent="0.3">
      <c r="B30" s="163">
        <f t="shared" si="8"/>
        <v>22.646615753797512</v>
      </c>
      <c r="C30" s="164">
        <f t="shared" si="8"/>
        <v>2.2646615753797517</v>
      </c>
      <c r="D30" s="164">
        <f t="shared" si="8"/>
        <v>0</v>
      </c>
      <c r="E30" s="165">
        <f t="shared" si="8"/>
        <v>5.8007688004212368E-2</v>
      </c>
    </row>
    <row r="31" spans="2:5" x14ac:dyDescent="0.3">
      <c r="B31" s="163">
        <f t="shared" si="8"/>
        <v>26.27782039648892</v>
      </c>
      <c r="C31" s="164">
        <f t="shared" si="8"/>
        <v>2.6277820396488925</v>
      </c>
      <c r="D31" s="164">
        <f t="shared" si="8"/>
        <v>0</v>
      </c>
      <c r="E31" s="165">
        <f t="shared" si="8"/>
        <v>6.5832958194835298E-2</v>
      </c>
    </row>
    <row r="32" spans="2:5" x14ac:dyDescent="0.3">
      <c r="B32" s="163">
        <f t="shared" si="8"/>
        <v>21.431848508983634</v>
      </c>
      <c r="C32" s="164">
        <f t="shared" si="8"/>
        <v>2.1431848508983631</v>
      </c>
      <c r="D32" s="164">
        <f t="shared" si="8"/>
        <v>0</v>
      </c>
      <c r="E32" s="165">
        <f t="shared" si="8"/>
        <v>5.3893894388291078E-2</v>
      </c>
    </row>
    <row r="33" spans="1:5" x14ac:dyDescent="0.3">
      <c r="B33" s="163">
        <f t="shared" si="8"/>
        <v>11.820730602748952</v>
      </c>
      <c r="C33" s="164">
        <f t="shared" si="8"/>
        <v>1.1820730602748952</v>
      </c>
      <c r="D33" s="164">
        <f t="shared" si="8"/>
        <v>0</v>
      </c>
      <c r="E33" s="165">
        <f t="shared" si="8"/>
        <v>4.0697014675229487E-2</v>
      </c>
    </row>
    <row r="34" spans="1:5" ht="15" thickBot="1" x14ac:dyDescent="0.35">
      <c r="B34" s="166">
        <f t="shared" si="8"/>
        <v>27.429935901008321</v>
      </c>
      <c r="C34" s="167">
        <f t="shared" si="8"/>
        <v>2.742993590100832</v>
      </c>
      <c r="D34" s="167">
        <f t="shared" si="8"/>
        <v>0</v>
      </c>
      <c r="E34" s="168">
        <f t="shared" si="8"/>
        <v>6.2659805142447761E-2</v>
      </c>
    </row>
    <row r="35" spans="1:5" x14ac:dyDescent="0.3">
      <c r="A35" s="65" t="s">
        <v>4</v>
      </c>
      <c r="B35" s="225" t="s">
        <v>307</v>
      </c>
      <c r="C35" s="83"/>
    </row>
    <row r="37" spans="1:5" x14ac:dyDescent="0.3">
      <c r="A37" s="65" t="s">
        <v>73</v>
      </c>
      <c r="B37" s="225" t="s">
        <v>286</v>
      </c>
      <c r="C37" s="225" t="s">
        <v>287</v>
      </c>
      <c r="D37" s="225" t="s">
        <v>288</v>
      </c>
    </row>
    <row r="38" spans="1:5" x14ac:dyDescent="0.3">
      <c r="A38" s="64">
        <v>2007</v>
      </c>
      <c r="B38" s="83" t="e">
        <v>#DIV/0!</v>
      </c>
      <c r="C38" s="83">
        <v>0</v>
      </c>
      <c r="D38" s="83">
        <v>0</v>
      </c>
    </row>
    <row r="39" spans="1:5" x14ac:dyDescent="0.3">
      <c r="A39" s="64">
        <v>2008</v>
      </c>
      <c r="B39" s="83" t="e">
        <v>#DIV/0!</v>
      </c>
      <c r="C39" s="83">
        <v>0</v>
      </c>
      <c r="D39" s="83">
        <v>0</v>
      </c>
    </row>
    <row r="40" spans="1:5" x14ac:dyDescent="0.3">
      <c r="A40" s="64">
        <v>2009</v>
      </c>
      <c r="B40" s="83">
        <v>17.965258892786967</v>
      </c>
      <c r="C40" s="83">
        <v>16.969555187429446</v>
      </c>
      <c r="D40" s="83">
        <v>3.7095854373123345</v>
      </c>
    </row>
    <row r="41" spans="1:5" x14ac:dyDescent="0.3">
      <c r="A41" s="64">
        <v>2010</v>
      </c>
      <c r="B41" s="83">
        <v>15.875442591510245</v>
      </c>
      <c r="C41" s="83">
        <v>19.019663411720408</v>
      </c>
      <c r="D41" s="83">
        <v>5.5074800975771883</v>
      </c>
    </row>
    <row r="42" spans="1:5" x14ac:dyDescent="0.3">
      <c r="A42" s="64">
        <v>2011</v>
      </c>
      <c r="B42" s="83">
        <v>12.682004853236228</v>
      </c>
      <c r="C42" s="83">
        <v>22.507535730663161</v>
      </c>
      <c r="D42" s="83">
        <v>5.69588929688158</v>
      </c>
    </row>
    <row r="43" spans="1:5" x14ac:dyDescent="0.3">
      <c r="A43" s="64">
        <v>2012</v>
      </c>
      <c r="B43" s="83">
        <v>17.409040821440648</v>
      </c>
      <c r="C43" s="83">
        <v>20.261454074173567</v>
      </c>
      <c r="D43" s="83">
        <v>5.4697886507181277</v>
      </c>
    </row>
    <row r="44" spans="1:5" x14ac:dyDescent="0.3">
      <c r="A44" s="64">
        <v>2013</v>
      </c>
      <c r="B44" s="83">
        <v>16.630855473914135</v>
      </c>
      <c r="C44" s="83">
        <v>19.403577805721568</v>
      </c>
      <c r="D44" s="83">
        <v>4.5290880920496006</v>
      </c>
    </row>
    <row r="45" spans="1:5" x14ac:dyDescent="0.3">
      <c r="A45" s="64">
        <v>2014</v>
      </c>
      <c r="B45" s="83">
        <v>16.095651131491994</v>
      </c>
      <c r="C45" s="83">
        <v>19.905166638654205</v>
      </c>
      <c r="D45" s="83">
        <v>6.139137885518922</v>
      </c>
    </row>
    <row r="46" spans="1:5" x14ac:dyDescent="0.3">
      <c r="A46" s="64">
        <v>2015</v>
      </c>
      <c r="B46" s="83">
        <v>23.056752238984625</v>
      </c>
      <c r="C46" s="83">
        <v>15.077429662826217</v>
      </c>
      <c r="D46" s="83">
        <v>3.3917963150339858</v>
      </c>
    </row>
    <row r="47" spans="1:5" x14ac:dyDescent="0.3">
      <c r="A47" s="64">
        <v>2016</v>
      </c>
      <c r="B47" s="83">
        <v>26.476852842413503</v>
      </c>
      <c r="C47" s="83">
        <v>12.860380123677352</v>
      </c>
      <c r="D47" s="83">
        <v>2.8457385419638253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opLeftCell="A52" workbookViewId="0">
      <selection activeCell="K20" sqref="K20"/>
    </sheetView>
  </sheetViews>
  <sheetFormatPr defaultColWidth="10.6640625" defaultRowHeight="14.4" x14ac:dyDescent="0.3"/>
  <cols>
    <col min="2" max="2" width="7.33203125" customWidth="1"/>
    <col min="3" max="3" width="8.5546875" customWidth="1"/>
    <col min="4" max="4" width="34.6640625" style="68" customWidth="1"/>
    <col min="5" max="5" width="26.6640625" style="68" customWidth="1"/>
    <col min="6" max="6" width="22.44140625" style="68" customWidth="1"/>
    <col min="7" max="7" width="12.88671875" customWidth="1"/>
    <col min="9" max="9" width="18" bestFit="1" customWidth="1"/>
    <col min="10" max="11" width="11.109375" customWidth="1"/>
  </cols>
  <sheetData>
    <row r="1" spans="1:20" s="68" customFormat="1" x14ac:dyDescent="0.3">
      <c r="A1" s="68" t="s">
        <v>76</v>
      </c>
      <c r="B1" s="69" t="s">
        <v>6</v>
      </c>
      <c r="C1" s="69" t="s">
        <v>5</v>
      </c>
      <c r="D1" s="225" t="s">
        <v>144</v>
      </c>
      <c r="E1" s="225" t="s">
        <v>83</v>
      </c>
      <c r="F1" s="225" t="s">
        <v>84</v>
      </c>
      <c r="N1" s="71"/>
      <c r="O1" s="71"/>
    </row>
    <row r="2" spans="1:20" ht="15" customHeight="1" x14ac:dyDescent="0.3">
      <c r="A2" s="213">
        <f t="shared" ref="A2:A33" si="0">SUM(D2:F2)</f>
        <v>47.001097667088885</v>
      </c>
      <c r="B2" s="172">
        <v>2009</v>
      </c>
      <c r="C2" s="172" t="s">
        <v>27</v>
      </c>
      <c r="D2" s="213">
        <v>25.383557807904225</v>
      </c>
      <c r="E2" s="213">
        <v>18.295186545381988</v>
      </c>
      <c r="F2" s="213">
        <v>3.322353313802672</v>
      </c>
      <c r="H2" s="70" t="s">
        <v>6</v>
      </c>
      <c r="I2" s="70" t="s">
        <v>78</v>
      </c>
      <c r="J2" s="64" t="s">
        <v>289</v>
      </c>
      <c r="K2" s="75" t="s">
        <v>290</v>
      </c>
      <c r="L2" s="68" t="s">
        <v>77</v>
      </c>
      <c r="M2" s="68" t="s">
        <v>79</v>
      </c>
      <c r="N2" s="71"/>
      <c r="O2" s="68"/>
      <c r="P2" s="71"/>
      <c r="Q2" s="71"/>
      <c r="R2" s="68"/>
      <c r="S2" s="68"/>
    </row>
    <row r="3" spans="1:20" x14ac:dyDescent="0.3">
      <c r="A3" s="213">
        <f t="shared" si="0"/>
        <v>34.502585062290834</v>
      </c>
      <c r="B3" s="172">
        <v>2009</v>
      </c>
      <c r="C3" s="172" t="s">
        <v>21</v>
      </c>
      <c r="D3" s="213">
        <v>17.611440906637881</v>
      </c>
      <c r="E3" s="213">
        <v>13.856612602514476</v>
      </c>
      <c r="F3" s="213">
        <v>3.0345315531384771</v>
      </c>
      <c r="H3" s="72">
        <v>1</v>
      </c>
      <c r="I3" s="64" t="s">
        <v>81</v>
      </c>
      <c r="J3" s="73">
        <f>VLOOKUP(MAX($A$2:$A$13),$A$2:$F$13,4,FALSE)</f>
        <v>39.254564983888287</v>
      </c>
      <c r="K3" s="73">
        <f>VLOOKUP(MAX($A$2:$A$13),$A$2:$F$13,5,FALSE)</f>
        <v>22.69236723029293</v>
      </c>
      <c r="L3" s="73">
        <f>VLOOKUP(MAX($A$2:$A$13),$A$2:$F$13,6,FALSE)</f>
        <v>3.3599607049297462</v>
      </c>
      <c r="M3" s="73"/>
      <c r="N3" s="59">
        <f>SUM(J3:L3)</f>
        <v>65.306892919110965</v>
      </c>
      <c r="O3" s="71"/>
      <c r="T3" s="73"/>
    </row>
    <row r="4" spans="1:20" x14ac:dyDescent="0.3">
      <c r="A4" s="213">
        <f t="shared" si="0"/>
        <v>38.498691715893962</v>
      </c>
      <c r="B4" s="172">
        <v>2009</v>
      </c>
      <c r="C4" s="172" t="s">
        <v>36</v>
      </c>
      <c r="D4" s="213">
        <v>20.13227156161425</v>
      </c>
      <c r="E4" s="213">
        <v>12.845203010645095</v>
      </c>
      <c r="F4" s="213">
        <v>5.5212171436346145</v>
      </c>
      <c r="H4" s="72">
        <v>2009</v>
      </c>
      <c r="I4" s="75" t="s">
        <v>75</v>
      </c>
      <c r="J4" s="73">
        <f>+'10Capex'!B40</f>
        <v>17.965258892786967</v>
      </c>
      <c r="K4" s="73">
        <f>+'10Capex'!C40</f>
        <v>16.969555187429446</v>
      </c>
      <c r="L4" s="73">
        <f>+'10Capex'!D40</f>
        <v>3.7095854373123345</v>
      </c>
      <c r="M4" s="73"/>
      <c r="N4" s="59">
        <f>SUM(J4:L4)</f>
        <v>38.644399517528747</v>
      </c>
      <c r="O4" s="68"/>
      <c r="S4" s="73"/>
      <c r="T4" s="73"/>
    </row>
    <row r="5" spans="1:20" ht="15" customHeight="1" x14ac:dyDescent="0.3">
      <c r="A5" s="213">
        <f t="shared" si="0"/>
        <v>38.859728022323139</v>
      </c>
      <c r="B5" s="172">
        <v>2009</v>
      </c>
      <c r="C5" s="172" t="s">
        <v>31</v>
      </c>
      <c r="D5" s="213">
        <v>16.101876248157787</v>
      </c>
      <c r="E5" s="213">
        <v>17.545772883528517</v>
      </c>
      <c r="F5" s="213">
        <v>5.2120788906368345</v>
      </c>
      <c r="H5" s="72">
        <v>1</v>
      </c>
      <c r="I5" s="64" t="s">
        <v>80</v>
      </c>
      <c r="J5" s="73">
        <f>VLOOKUP(MIN($A$2:$A$13),$A$2:$F$13,4,FALSE)</f>
        <v>8.483410671045073</v>
      </c>
      <c r="K5" s="73">
        <f>VLOOKUP(MIN($A$2:$A$13),$A$2:$F$13,5,FALSE)</f>
        <v>7.3414743512229252</v>
      </c>
      <c r="L5" s="73">
        <f>VLOOKUP(MIN($A$2:$A$13),$A$2:$F$13,6,FALSE)</f>
        <v>3.7893980325753782</v>
      </c>
      <c r="M5" s="73"/>
      <c r="N5" s="59">
        <f>SUM(J5:L5)</f>
        <v>19.614283054843376</v>
      </c>
      <c r="O5" s="68"/>
      <c r="S5" s="73"/>
      <c r="T5" s="73"/>
    </row>
    <row r="6" spans="1:20" ht="15" customHeight="1" x14ac:dyDescent="0.3">
      <c r="A6" s="213">
        <f t="shared" si="0"/>
        <v>65.306892919110965</v>
      </c>
      <c r="B6" s="172">
        <v>2009</v>
      </c>
      <c r="C6" s="172" t="s">
        <v>42</v>
      </c>
      <c r="D6" s="213">
        <v>39.254564983888287</v>
      </c>
      <c r="E6" s="213">
        <v>22.69236723029293</v>
      </c>
      <c r="F6" s="213">
        <v>3.3599607049297462</v>
      </c>
      <c r="H6" s="72"/>
      <c r="I6" s="75"/>
      <c r="J6" s="73"/>
      <c r="K6" s="73"/>
      <c r="L6" s="73"/>
      <c r="M6" s="73"/>
      <c r="N6" s="59"/>
      <c r="O6" s="71"/>
      <c r="T6" s="73"/>
    </row>
    <row r="7" spans="1:20" ht="15" customHeight="1" x14ac:dyDescent="0.3">
      <c r="A7" s="213">
        <f t="shared" si="0"/>
        <v>28.189950578624249</v>
      </c>
      <c r="B7" s="172">
        <v>2009</v>
      </c>
      <c r="C7" s="172" t="s">
        <v>44</v>
      </c>
      <c r="D7" s="213">
        <v>15.250126326427489</v>
      </c>
      <c r="E7" s="213">
        <v>10.123298589091778</v>
      </c>
      <c r="F7" s="213">
        <v>2.8165256631049824</v>
      </c>
      <c r="H7" s="72">
        <v>2</v>
      </c>
      <c r="I7" s="64" t="s">
        <v>81</v>
      </c>
      <c r="J7" s="73">
        <f>VLOOKUP(MAX($A$14:$A$25),$A$14:$F$25,4,FALSE)</f>
        <v>20.191698113207551</v>
      </c>
      <c r="K7" s="73">
        <f>VLOOKUP(MAX($A$14:$A$25),$A$14:$F$25,5,FALSE)</f>
        <v>73.740320082601968</v>
      </c>
      <c r="L7" s="73">
        <f>VLOOKUP(MAX($A$14:$A$25),$A$14:$F$25,6,FALSE)</f>
        <v>11.08480123902943</v>
      </c>
      <c r="M7" s="73"/>
      <c r="N7" s="59">
        <f>SUM(J7:L7)</f>
        <v>105.01681943483895</v>
      </c>
      <c r="O7" s="68"/>
      <c r="S7" s="74"/>
      <c r="T7" s="73"/>
    </row>
    <row r="8" spans="1:20" ht="15" customHeight="1" x14ac:dyDescent="0.3">
      <c r="A8" s="213">
        <f t="shared" si="0"/>
        <v>48.909665885745369</v>
      </c>
      <c r="B8" s="172">
        <v>2009</v>
      </c>
      <c r="C8" s="172" t="s">
        <v>48</v>
      </c>
      <c r="D8" s="213">
        <v>27.667912147999637</v>
      </c>
      <c r="E8" s="213">
        <v>17.653731691297409</v>
      </c>
      <c r="F8" s="213">
        <v>3.588022046448323</v>
      </c>
      <c r="H8" s="72">
        <v>2010</v>
      </c>
      <c r="I8" s="75" t="s">
        <v>75</v>
      </c>
      <c r="J8" s="73">
        <f>+'10Capex'!B41</f>
        <v>15.875442591510245</v>
      </c>
      <c r="K8" s="73">
        <f>+'10Capex'!C41</f>
        <v>19.019663411720408</v>
      </c>
      <c r="L8" s="73">
        <f>+'10Capex'!D41</f>
        <v>5.5074800975771883</v>
      </c>
      <c r="M8" s="73"/>
      <c r="N8" s="59">
        <f>SUM(J8:L8)</f>
        <v>40.402586100807838</v>
      </c>
      <c r="O8" s="68"/>
      <c r="S8" s="74"/>
    </row>
    <row r="9" spans="1:20" ht="15" customHeight="1" x14ac:dyDescent="0.3">
      <c r="A9" s="213">
        <f t="shared" si="0"/>
        <v>26.622045643896016</v>
      </c>
      <c r="B9" s="172">
        <v>2009</v>
      </c>
      <c r="C9" s="172" t="s">
        <v>51</v>
      </c>
      <c r="D9" s="213">
        <v>10.555157369421678</v>
      </c>
      <c r="E9" s="213">
        <v>11.700078879698852</v>
      </c>
      <c r="F9" s="213">
        <v>4.3668093947754851</v>
      </c>
      <c r="H9" s="72">
        <v>2</v>
      </c>
      <c r="I9" s="64" t="s">
        <v>80</v>
      </c>
      <c r="J9" s="73">
        <f>VLOOKUP(MIN($A$14:$A$25),$A$14:$F$25,4,FALSE)</f>
        <v>11.414743525009701</v>
      </c>
      <c r="K9" s="73">
        <f>VLOOKUP(MIN($A$14:$A$25),$A$14:$F$25,5,FALSE)</f>
        <v>13.529632068104913</v>
      </c>
      <c r="L9" s="73">
        <f>VLOOKUP(MIN($A$14:$A$25),$A$14:$F$25,6,FALSE)</f>
        <v>5.1579348042443085</v>
      </c>
      <c r="M9" s="73"/>
      <c r="N9" s="59">
        <f>SUM(J9:L9)</f>
        <v>30.102310397358924</v>
      </c>
      <c r="O9" s="71"/>
    </row>
    <row r="10" spans="1:20" ht="15" customHeight="1" x14ac:dyDescent="0.3">
      <c r="A10" s="213">
        <f t="shared" si="0"/>
        <v>54.518695711074535</v>
      </c>
      <c r="B10" s="172">
        <v>2009</v>
      </c>
      <c r="C10" s="172" t="s">
        <v>56</v>
      </c>
      <c r="D10" s="213">
        <v>22.294046172539488</v>
      </c>
      <c r="E10" s="213">
        <v>27.959234557373929</v>
      </c>
      <c r="F10" s="213">
        <v>4.2654149811611219</v>
      </c>
      <c r="H10" s="72"/>
      <c r="J10" s="73"/>
      <c r="K10" s="73"/>
      <c r="L10" s="73"/>
      <c r="M10" s="73"/>
      <c r="N10" s="59"/>
      <c r="O10" s="68"/>
      <c r="S10" s="74"/>
    </row>
    <row r="11" spans="1:20" ht="15" customHeight="1" x14ac:dyDescent="0.3">
      <c r="A11" s="213">
        <f t="shared" si="0"/>
        <v>45.937487786890976</v>
      </c>
      <c r="B11" s="172">
        <v>2009</v>
      </c>
      <c r="C11" s="172" t="s">
        <v>59</v>
      </c>
      <c r="D11" s="213">
        <v>24.671109301092766</v>
      </c>
      <c r="E11" s="213">
        <v>18.416595490841313</v>
      </c>
      <c r="F11" s="213">
        <v>2.8497829949568967</v>
      </c>
      <c r="H11" s="72">
        <v>3</v>
      </c>
      <c r="I11" s="64" t="s">
        <v>81</v>
      </c>
      <c r="J11" s="73">
        <f>VLOOKUP(MAX($A$26:$A$37),$A$26:$F$37,4,FALSE)</f>
        <v>43.290743155149933</v>
      </c>
      <c r="K11" s="73">
        <f>VLOOKUP(MAX($A$26:$A$37),$A$26:$F$37,5,FALSE)</f>
        <v>32.654299546869844</v>
      </c>
      <c r="L11" s="73">
        <f>VLOOKUP(MAX($A$26:$A$37),$A$26:$F$37,6,FALSE)</f>
        <v>7.0308009794219668</v>
      </c>
      <c r="M11" s="73"/>
      <c r="N11" s="59">
        <f>SUM(J11:L11)</f>
        <v>82.975843681441745</v>
      </c>
      <c r="O11" s="68"/>
      <c r="S11" s="74"/>
    </row>
    <row r="12" spans="1:20" ht="15" customHeight="1" x14ac:dyDescent="0.3">
      <c r="A12" s="213">
        <f t="shared" si="0"/>
        <v>30.499706791549592</v>
      </c>
      <c r="B12" s="172">
        <v>2009</v>
      </c>
      <c r="C12" s="172" t="s">
        <v>63</v>
      </c>
      <c r="D12" s="213">
        <v>11.506786037117205</v>
      </c>
      <c r="E12" s="213">
        <v>14.512516262027617</v>
      </c>
      <c r="F12" s="213">
        <v>4.4804044924047695</v>
      </c>
      <c r="H12" s="72">
        <v>2011</v>
      </c>
      <c r="I12" s="75" t="s">
        <v>75</v>
      </c>
      <c r="J12" s="73">
        <f>+'10Capex'!B42</f>
        <v>12.682004853236228</v>
      </c>
      <c r="K12" s="73">
        <f>+'10Capex'!C42</f>
        <v>22.507535730663161</v>
      </c>
      <c r="L12" s="73">
        <f>+'10Capex'!D42</f>
        <v>5.69588929688158</v>
      </c>
      <c r="M12" s="73"/>
      <c r="N12" s="59">
        <f>SUM(J12:L12)</f>
        <v>40.885429880780968</v>
      </c>
      <c r="O12" s="71"/>
    </row>
    <row r="13" spans="1:20" ht="15" customHeight="1" x14ac:dyDescent="0.3">
      <c r="A13" s="213">
        <f t="shared" si="0"/>
        <v>19.614283054843376</v>
      </c>
      <c r="B13" s="172">
        <v>2009</v>
      </c>
      <c r="C13" s="172" t="s">
        <v>67</v>
      </c>
      <c r="D13" s="213">
        <v>8.483410671045073</v>
      </c>
      <c r="E13" s="213">
        <v>7.3414743512229252</v>
      </c>
      <c r="F13" s="213">
        <v>3.7893980325753782</v>
      </c>
      <c r="H13" s="72">
        <v>3</v>
      </c>
      <c r="I13" s="64" t="s">
        <v>80</v>
      </c>
      <c r="J13" s="73">
        <f>VLOOKUP(MIN($A$26:$A$37),$A$26:$F$37,4,FALSE)</f>
        <v>6.5949104762676214</v>
      </c>
      <c r="K13" s="73">
        <f>VLOOKUP(MIN($A$26:$A$37),$A$26:$F$37,5,FALSE)</f>
        <v>8.153169288539285</v>
      </c>
      <c r="L13" s="73">
        <f>VLOOKUP(MIN($A$26:$A$37),$A$26:$F$37,6,FALSE)</f>
        <v>3.4437416388588211</v>
      </c>
      <c r="M13" s="73"/>
      <c r="N13" s="59">
        <f>SUM(J13:L13)</f>
        <v>18.191821403665728</v>
      </c>
      <c r="O13" s="68"/>
      <c r="S13" s="74"/>
    </row>
    <row r="14" spans="1:20" ht="15" customHeight="1" x14ac:dyDescent="0.3">
      <c r="A14" s="81">
        <f t="shared" si="0"/>
        <v>70.654002467425741</v>
      </c>
      <c r="B14" s="172">
        <v>2009</v>
      </c>
      <c r="C14" s="172" t="s">
        <v>272</v>
      </c>
      <c r="D14" s="213">
        <v>41.771739130434788</v>
      </c>
      <c r="E14" s="213">
        <v>23.283491637981527</v>
      </c>
      <c r="F14" s="213">
        <v>5.5987716990094212</v>
      </c>
      <c r="H14" s="72"/>
      <c r="J14" s="73"/>
      <c r="K14" s="73"/>
      <c r="L14" s="73"/>
      <c r="M14" s="73"/>
      <c r="N14" s="59"/>
      <c r="O14" s="68"/>
      <c r="S14" s="74"/>
    </row>
    <row r="15" spans="1:20" ht="15" customHeight="1" x14ac:dyDescent="0.3">
      <c r="A15" s="81">
        <f t="shared" si="0"/>
        <v>36.532537327379657</v>
      </c>
      <c r="B15" s="172">
        <v>2009</v>
      </c>
      <c r="C15" s="172" t="s">
        <v>309</v>
      </c>
      <c r="D15" s="213">
        <v>12.957753843603133</v>
      </c>
      <c r="E15" s="213">
        <v>15.826207611612586</v>
      </c>
      <c r="F15" s="213">
        <v>7.7485758721639426</v>
      </c>
      <c r="H15" s="72">
        <v>4</v>
      </c>
      <c r="I15" s="64" t="s">
        <v>81</v>
      </c>
      <c r="J15" s="73">
        <f>VLOOKUP(MAX($A$38:$A$49),$A$38:$F$49,4,FALSE)</f>
        <v>44.427413411938097</v>
      </c>
      <c r="K15" s="73">
        <f>VLOOKUP(MAX($A$38:$A$49),$A$38:$F$49,5,FALSE)</f>
        <v>47.104721981659267</v>
      </c>
      <c r="L15" s="73">
        <f>VLOOKUP(MAX($A$38:$A$49),$A$38:$F$49,6,FALSE)</f>
        <v>19.067767571831407</v>
      </c>
      <c r="M15" s="73"/>
      <c r="N15" s="59">
        <f>SUM(J15:L15)</f>
        <v>110.59990296542878</v>
      </c>
      <c r="O15" s="71"/>
    </row>
    <row r="16" spans="1:20" ht="15" customHeight="1" x14ac:dyDescent="0.3">
      <c r="A16" s="81">
        <f t="shared" si="0"/>
        <v>30.267737903014105</v>
      </c>
      <c r="B16" s="172">
        <v>2009</v>
      </c>
      <c r="C16" s="172" t="s">
        <v>313</v>
      </c>
      <c r="D16" s="213">
        <v>11.027802124467884</v>
      </c>
      <c r="E16" s="213">
        <v>14.607291486399015</v>
      </c>
      <c r="F16" s="213">
        <v>4.6326442921472051</v>
      </c>
      <c r="H16" s="72">
        <v>2012</v>
      </c>
      <c r="I16" s="75" t="s">
        <v>75</v>
      </c>
      <c r="J16" s="73">
        <f>+'10Capex'!B43</f>
        <v>17.409040821440648</v>
      </c>
      <c r="K16" s="73">
        <f>+'10Capex'!C43</f>
        <v>20.261454074173567</v>
      </c>
      <c r="L16" s="73">
        <f>+'10Capex'!D43</f>
        <v>5.4697886507181277</v>
      </c>
      <c r="M16" s="73"/>
      <c r="N16" s="59">
        <f>SUM(J16:L16)</f>
        <v>43.140283546332341</v>
      </c>
      <c r="O16" s="68"/>
    </row>
    <row r="17" spans="1:17" ht="15" customHeight="1" x14ac:dyDescent="0.3">
      <c r="A17" s="81">
        <f t="shared" si="0"/>
        <v>105.01681943483895</v>
      </c>
      <c r="B17" s="172">
        <v>2009</v>
      </c>
      <c r="C17" s="172" t="s">
        <v>271</v>
      </c>
      <c r="D17" s="213">
        <v>20.191698113207551</v>
      </c>
      <c r="E17" s="213">
        <v>73.740320082601968</v>
      </c>
      <c r="F17" s="213">
        <v>11.08480123902943</v>
      </c>
      <c r="H17" s="72">
        <v>4</v>
      </c>
      <c r="I17" s="64" t="s">
        <v>80</v>
      </c>
      <c r="J17" s="73">
        <f>VLOOKUP(MIN($A$38:$A$49),$A$38:$F$49,4,FALSE)</f>
        <v>6.261191413253588</v>
      </c>
      <c r="K17" s="73">
        <f>VLOOKUP(MIN($A$38:$A$49),$A$38:$F$49,5,FALSE)</f>
        <v>7.8983193084040115</v>
      </c>
      <c r="L17" s="73">
        <f>VLOOKUP(MIN($A$38:$A$49),$A$38:$F$49,6,FALSE)</f>
        <v>3.1195692387211653</v>
      </c>
      <c r="M17" s="73"/>
      <c r="N17" s="59">
        <f>SUM(J17:L17)</f>
        <v>17.279079960378766</v>
      </c>
      <c r="O17" s="68"/>
    </row>
    <row r="18" spans="1:17" ht="15" customHeight="1" x14ac:dyDescent="0.3">
      <c r="A18" s="81">
        <f t="shared" si="0"/>
        <v>56.51631311522253</v>
      </c>
      <c r="B18" s="117">
        <v>2010</v>
      </c>
      <c r="C18" s="117" t="s">
        <v>27</v>
      </c>
      <c r="D18" s="81">
        <v>22.450402263003127</v>
      </c>
      <c r="E18" s="81">
        <v>21.383294780427676</v>
      </c>
      <c r="F18" s="81">
        <v>12.682616071791724</v>
      </c>
      <c r="H18" s="72"/>
      <c r="J18" s="73"/>
      <c r="K18" s="73"/>
      <c r="L18" s="73"/>
      <c r="M18" s="73"/>
      <c r="N18" s="59"/>
    </row>
    <row r="19" spans="1:17" ht="15" customHeight="1" x14ac:dyDescent="0.3">
      <c r="A19" s="81">
        <f t="shared" si="0"/>
        <v>33.572152826499781</v>
      </c>
      <c r="B19" s="117">
        <v>2010</v>
      </c>
      <c r="C19" s="117" t="s">
        <v>21</v>
      </c>
      <c r="D19" s="81">
        <v>14.954760297096556</v>
      </c>
      <c r="E19" s="81">
        <v>15.398933447592215</v>
      </c>
      <c r="F19" s="81">
        <v>3.2184590818110146</v>
      </c>
      <c r="H19" s="72">
        <v>5</v>
      </c>
      <c r="I19" s="64" t="s">
        <v>81</v>
      </c>
      <c r="J19" s="73">
        <f>VLOOKUP(MAX($A$50:$A$61),$A$50:$F$61,4,FALSE)</f>
        <v>16.843627834245506</v>
      </c>
      <c r="K19" s="73">
        <f>VLOOKUP(MAX($A$50:$A$61),$A$50:$F$61,5,FALSE)</f>
        <v>44.462439858441336</v>
      </c>
      <c r="L19" s="73">
        <f>VLOOKUP(MAX($A$50:$A$61),$A$50:$F$61,6,FALSE)</f>
        <v>6.9103546080942904</v>
      </c>
      <c r="M19" s="73"/>
      <c r="N19" s="59">
        <f>SUM(J19:L19)</f>
        <v>68.216422300781133</v>
      </c>
    </row>
    <row r="20" spans="1:17" x14ac:dyDescent="0.3">
      <c r="A20" s="81">
        <f t="shared" si="0"/>
        <v>36.894916562023234</v>
      </c>
      <c r="B20" s="117">
        <v>2010</v>
      </c>
      <c r="C20" s="117" t="s">
        <v>36</v>
      </c>
      <c r="D20" s="81">
        <v>17.836843396292533</v>
      </c>
      <c r="E20" s="81">
        <v>10.577667792682288</v>
      </c>
      <c r="F20" s="81">
        <v>8.480405373048411</v>
      </c>
      <c r="H20" s="72">
        <v>2013</v>
      </c>
      <c r="I20" s="75" t="s">
        <v>75</v>
      </c>
      <c r="J20" s="73">
        <f>+'10Capex'!B44</f>
        <v>16.630855473914135</v>
      </c>
      <c r="K20" s="73">
        <f>+'10Capex'!C44</f>
        <v>19.403577805721568</v>
      </c>
      <c r="L20" s="73">
        <f>+'10Capex'!D44</f>
        <v>4.5290880920496006</v>
      </c>
      <c r="M20" s="73"/>
      <c r="N20" s="59">
        <f>SUM(J20:L20)</f>
        <v>40.563521371685304</v>
      </c>
    </row>
    <row r="21" spans="1:17" x14ac:dyDescent="0.3">
      <c r="A21" s="81">
        <f t="shared" si="0"/>
        <v>30.102310397358924</v>
      </c>
      <c r="B21" s="117">
        <v>2010</v>
      </c>
      <c r="C21" s="117" t="s">
        <v>31</v>
      </c>
      <c r="D21" s="81">
        <v>11.414743525009701</v>
      </c>
      <c r="E21" s="81">
        <v>13.529632068104913</v>
      </c>
      <c r="F21" s="81">
        <v>5.1579348042443085</v>
      </c>
      <c r="H21" s="72">
        <v>5</v>
      </c>
      <c r="I21" s="64" t="s">
        <v>80</v>
      </c>
      <c r="J21" s="73">
        <f>VLOOKUP(MIN($A$50:$A$61),$A$50:$F$61,4,FALSE)</f>
        <v>6.0616728822909804</v>
      </c>
      <c r="K21" s="73">
        <f>VLOOKUP(MIN($A$50:$A$61),$A$50:$F$61,5,FALSE)</f>
        <v>11.33539459022891</v>
      </c>
      <c r="L21" s="73">
        <f>VLOOKUP(MIN($A$50:$A$61),$A$50:$F$61,6,FALSE)</f>
        <v>3.3094519933293944</v>
      </c>
      <c r="M21" s="73"/>
      <c r="N21" s="59">
        <f>SUM(J21:L21)</f>
        <v>20.706519465849283</v>
      </c>
    </row>
    <row r="22" spans="1:17" x14ac:dyDescent="0.3">
      <c r="A22" s="81">
        <f t="shared" si="0"/>
        <v>73.683718307990574</v>
      </c>
      <c r="B22" s="117">
        <v>2010</v>
      </c>
      <c r="C22" s="117" t="s">
        <v>42</v>
      </c>
      <c r="D22" s="81">
        <v>44.944809461235216</v>
      </c>
      <c r="E22" s="81">
        <v>25.104662838272318</v>
      </c>
      <c r="F22" s="81">
        <v>3.6342460084830512</v>
      </c>
      <c r="H22" s="72"/>
      <c r="J22" s="73"/>
      <c r="K22" s="73"/>
      <c r="L22" s="73"/>
      <c r="M22" s="73"/>
      <c r="N22" s="59"/>
      <c r="P22" s="73"/>
      <c r="Q22" s="73"/>
    </row>
    <row r="23" spans="1:17" x14ac:dyDescent="0.3">
      <c r="A23" s="81">
        <f t="shared" si="0"/>
        <v>31.46356281829086</v>
      </c>
      <c r="B23" s="117">
        <v>2010</v>
      </c>
      <c r="C23" s="117" t="s">
        <v>44</v>
      </c>
      <c r="D23" s="81">
        <v>14.441926345609065</v>
      </c>
      <c r="E23" s="81">
        <v>12.984047999284005</v>
      </c>
      <c r="F23" s="81">
        <v>4.0375884733977889</v>
      </c>
      <c r="H23" s="72">
        <v>6</v>
      </c>
      <c r="I23" s="64" t="s">
        <v>81</v>
      </c>
      <c r="J23" s="73">
        <f>VLOOKUP(MAX($A$62:$A$73),$A$62:$F$73,4,FALSE)</f>
        <v>128.72017353579184</v>
      </c>
      <c r="K23" s="73">
        <f>VLOOKUP(MAX($A$62:$A$73),$A$62:$F$73,5,FALSE)</f>
        <v>17.622937002178563</v>
      </c>
      <c r="L23" s="73">
        <f>VLOOKUP(MAX($A$62:$A$73),$A$62:$F$73,6,FALSE)</f>
        <v>3.3535211237342595</v>
      </c>
      <c r="M23" s="73"/>
      <c r="N23" s="59">
        <f>SUM(J23:L23)</f>
        <v>149.69663166170466</v>
      </c>
      <c r="P23" s="67"/>
      <c r="Q23" s="67"/>
    </row>
    <row r="24" spans="1:17" x14ac:dyDescent="0.3">
      <c r="A24" s="81">
        <f t="shared" si="0"/>
        <v>44.759469005917452</v>
      </c>
      <c r="B24" s="117">
        <v>2010</v>
      </c>
      <c r="C24" s="117" t="s">
        <v>48</v>
      </c>
      <c r="D24" s="81">
        <v>14.240462427745666</v>
      </c>
      <c r="E24" s="81">
        <v>25.687408577558767</v>
      </c>
      <c r="F24" s="81">
        <v>4.8315980006130195</v>
      </c>
      <c r="H24" s="72">
        <v>2014</v>
      </c>
      <c r="I24" s="75" t="s">
        <v>75</v>
      </c>
      <c r="J24" s="73">
        <f>+'10Capex'!B45</f>
        <v>16.095651131491994</v>
      </c>
      <c r="K24" s="73">
        <f>+'10Capex'!C45</f>
        <v>19.905166638654205</v>
      </c>
      <c r="L24" s="73">
        <f>+'10Capex'!D45</f>
        <v>6.139137885518922</v>
      </c>
      <c r="M24" s="73"/>
      <c r="N24" s="59">
        <f>SUM(J24:L24)</f>
        <v>42.139955655665119</v>
      </c>
      <c r="P24" s="74"/>
      <c r="Q24" s="74"/>
    </row>
    <row r="25" spans="1:17" x14ac:dyDescent="0.3">
      <c r="A25" s="81">
        <f t="shared" si="0"/>
        <v>32.252581967920563</v>
      </c>
      <c r="B25" s="117">
        <v>2010</v>
      </c>
      <c r="C25" s="117" t="s">
        <v>51</v>
      </c>
      <c r="D25" s="81">
        <v>11.14964722085187</v>
      </c>
      <c r="E25" s="81">
        <v>15.105544622495133</v>
      </c>
      <c r="F25" s="81">
        <v>5.9973901245735597</v>
      </c>
      <c r="H25" s="72">
        <v>6</v>
      </c>
      <c r="I25" s="64" t="s">
        <v>80</v>
      </c>
      <c r="J25" s="73">
        <f>VLOOKUP(MIN($A$62:$A$73),$A$62:$F$73,4,FALSE)</f>
        <v>4.5609309312608692</v>
      </c>
      <c r="K25" s="73">
        <f>VLOOKUP(MIN($A$62:$A$73),$A$62:$F$73,5,FALSE)</f>
        <v>8.8052786420404221</v>
      </c>
      <c r="L25" s="73">
        <f>VLOOKUP(MIN($A$62:$A$73),$A$62:$F$73,6,FALSE)</f>
        <v>2.6023237347759394</v>
      </c>
      <c r="M25" s="73"/>
      <c r="N25" s="59">
        <f>SUM(J25:L25)</f>
        <v>15.96853330807723</v>
      </c>
      <c r="P25" s="74"/>
      <c r="Q25" s="74"/>
    </row>
    <row r="26" spans="1:17" x14ac:dyDescent="0.3">
      <c r="A26" s="213">
        <f t="shared" si="0"/>
        <v>69.183167637263736</v>
      </c>
      <c r="B26" s="117">
        <v>2010</v>
      </c>
      <c r="C26" s="117" t="s">
        <v>56</v>
      </c>
      <c r="D26" s="81">
        <v>28.754594594594593</v>
      </c>
      <c r="E26" s="81">
        <v>32.715846858593395</v>
      </c>
      <c r="F26" s="81">
        <v>7.7127261840757493</v>
      </c>
      <c r="H26" s="72"/>
      <c r="I26" s="73"/>
      <c r="J26" s="73"/>
      <c r="K26" s="73"/>
      <c r="L26" s="73"/>
      <c r="M26" s="73"/>
      <c r="N26" s="59"/>
    </row>
    <row r="27" spans="1:17" x14ac:dyDescent="0.3">
      <c r="A27" s="213">
        <f t="shared" si="0"/>
        <v>41.207872631887604</v>
      </c>
      <c r="B27" s="117">
        <v>2010</v>
      </c>
      <c r="C27" s="117" t="s">
        <v>59</v>
      </c>
      <c r="D27" s="81">
        <v>15.620594478251654</v>
      </c>
      <c r="E27" s="81">
        <v>20.826072976497301</v>
      </c>
      <c r="F27" s="81">
        <v>4.7612051771386499</v>
      </c>
      <c r="H27" s="72">
        <v>7</v>
      </c>
      <c r="I27" s="64" t="s">
        <v>81</v>
      </c>
      <c r="J27" s="73">
        <f>VLOOKUP(MAX($A$74:$A$85),$A$74:$F$85,4,FALSE)</f>
        <v>125.41330748707466</v>
      </c>
      <c r="K27" s="73">
        <f>VLOOKUP(MAX($A$74:$A$85),$A$74:$F$85,5,FALSE)</f>
        <v>19.183594979196535</v>
      </c>
      <c r="L27" s="73">
        <f>VLOOKUP(MAX($A$74:$A$85),$A$74:$F$85,6,FALSE)</f>
        <v>6.1669107473764671</v>
      </c>
      <c r="M27" s="73"/>
      <c r="N27" s="59">
        <f>SUM(J27:L27)</f>
        <v>150.76381321364767</v>
      </c>
    </row>
    <row r="28" spans="1:17" x14ac:dyDescent="0.3">
      <c r="A28" s="213">
        <f t="shared" si="0"/>
        <v>27.370855921518071</v>
      </c>
      <c r="B28" s="117">
        <v>2010</v>
      </c>
      <c r="C28" s="117" t="s">
        <v>63</v>
      </c>
      <c r="D28" s="81">
        <v>7.458693609860215</v>
      </c>
      <c r="E28" s="81">
        <v>14.649434696993167</v>
      </c>
      <c r="F28" s="81">
        <v>5.2627276146646906</v>
      </c>
      <c r="H28" s="72">
        <v>2015</v>
      </c>
      <c r="I28" s="75" t="s">
        <v>75</v>
      </c>
      <c r="J28" s="73">
        <f>+'10Capex'!B46</f>
        <v>23.056752238984625</v>
      </c>
      <c r="K28" s="73">
        <f>+'10Capex'!C46</f>
        <v>15.077429662826217</v>
      </c>
      <c r="L28" s="73">
        <f>+'10Capex'!D46</f>
        <v>3.3917963150339858</v>
      </c>
      <c r="M28" s="73"/>
      <c r="N28" s="59">
        <f>SUM(J28:L28)</f>
        <v>41.525978216844827</v>
      </c>
    </row>
    <row r="29" spans="1:17" x14ac:dyDescent="0.3">
      <c r="A29" s="213">
        <f t="shared" si="0"/>
        <v>18.191821403665728</v>
      </c>
      <c r="B29" s="117">
        <v>2010</v>
      </c>
      <c r="C29" s="117" t="s">
        <v>67</v>
      </c>
      <c r="D29" s="81">
        <v>6.5949104762676214</v>
      </c>
      <c r="E29" s="81">
        <v>8.153169288539285</v>
      </c>
      <c r="F29" s="81">
        <v>3.4437416388588211</v>
      </c>
      <c r="H29" s="72">
        <v>7</v>
      </c>
      <c r="I29" s="64" t="s">
        <v>80</v>
      </c>
      <c r="J29" s="73">
        <f>+D77</f>
        <v>8.8799456959092549</v>
      </c>
      <c r="K29" s="73">
        <f>+E77</f>
        <v>7.9724480202362784</v>
      </c>
      <c r="L29" s="73">
        <f>+F77</f>
        <v>2.619334468787732</v>
      </c>
      <c r="M29" s="73"/>
      <c r="N29" s="59">
        <f>SUM(J29:L29)</f>
        <v>19.471728184933266</v>
      </c>
    </row>
    <row r="30" spans="1:17" x14ac:dyDescent="0.3">
      <c r="A30" s="213">
        <f t="shared" si="0"/>
        <v>82.975843681441745</v>
      </c>
      <c r="B30" s="117">
        <v>2010</v>
      </c>
      <c r="C30" s="117" t="s">
        <v>272</v>
      </c>
      <c r="D30" s="81">
        <v>43.290743155149933</v>
      </c>
      <c r="E30" s="81">
        <v>32.654299546869844</v>
      </c>
      <c r="F30" s="81">
        <v>7.0308009794219668</v>
      </c>
    </row>
    <row r="31" spans="1:17" x14ac:dyDescent="0.3">
      <c r="A31" s="213">
        <f t="shared" si="0"/>
        <v>53.949359630129436</v>
      </c>
      <c r="B31" s="117">
        <v>2010</v>
      </c>
      <c r="C31" s="117" t="s">
        <v>309</v>
      </c>
      <c r="D31" s="81">
        <v>15.491592322746024</v>
      </c>
      <c r="E31" s="81">
        <v>21.113947636129996</v>
      </c>
      <c r="F31" s="81">
        <v>17.343819671253414</v>
      </c>
    </row>
    <row r="32" spans="1:17" x14ac:dyDescent="0.3">
      <c r="A32" s="213">
        <f t="shared" si="0"/>
        <v>37.894972257338225</v>
      </c>
      <c r="B32" s="117">
        <v>2010</v>
      </c>
      <c r="C32" s="117" t="s">
        <v>313</v>
      </c>
      <c r="D32" s="81">
        <v>9.5985961354442022</v>
      </c>
      <c r="E32" s="81">
        <v>18.842314496132058</v>
      </c>
      <c r="F32" s="81">
        <v>9.4540616257619678</v>
      </c>
    </row>
    <row r="33" spans="1:6" x14ac:dyDescent="0.3">
      <c r="A33" s="213">
        <f t="shared" si="0"/>
        <v>72.443651642475174</v>
      </c>
      <c r="B33" s="117">
        <v>2010</v>
      </c>
      <c r="C33" s="117" t="s">
        <v>271</v>
      </c>
      <c r="D33" s="81">
        <v>29.995416348357526</v>
      </c>
      <c r="E33" s="81">
        <v>30.561038961038964</v>
      </c>
      <c r="F33" s="81">
        <v>11.887196333078686</v>
      </c>
    </row>
    <row r="34" spans="1:6" x14ac:dyDescent="0.3">
      <c r="A34" s="213">
        <f t="shared" ref="A34:A65" si="1">SUM(D34:F34)</f>
        <v>49.476305638445496</v>
      </c>
      <c r="B34" s="117">
        <v>2011</v>
      </c>
      <c r="C34" s="117" t="s">
        <v>27</v>
      </c>
      <c r="D34" s="81">
        <v>20.300675336922165</v>
      </c>
      <c r="E34" s="81">
        <v>23.731413950329742</v>
      </c>
      <c r="F34" s="81">
        <v>5.4442163511935879</v>
      </c>
    </row>
    <row r="35" spans="1:6" x14ac:dyDescent="0.3">
      <c r="A35" s="213">
        <f t="shared" si="1"/>
        <v>32.727449842896604</v>
      </c>
      <c r="B35" s="117">
        <v>2011</v>
      </c>
      <c r="C35" s="117" t="s">
        <v>21</v>
      </c>
      <c r="D35" s="81">
        <v>11.867789322823361</v>
      </c>
      <c r="E35" s="81">
        <v>17.176290708484093</v>
      </c>
      <c r="F35" s="81">
        <v>3.6833698115891504</v>
      </c>
    </row>
    <row r="36" spans="1:6" x14ac:dyDescent="0.3">
      <c r="A36" s="213">
        <f t="shared" si="1"/>
        <v>31.670478017470671</v>
      </c>
      <c r="B36" s="117">
        <v>2011</v>
      </c>
      <c r="C36" s="117" t="s">
        <v>36</v>
      </c>
      <c r="D36" s="81">
        <v>12.95740325567794</v>
      </c>
      <c r="E36" s="81">
        <v>11.616718594824132</v>
      </c>
      <c r="F36" s="81">
        <v>7.0963561669685973</v>
      </c>
    </row>
    <row r="37" spans="1:6" x14ac:dyDescent="0.3">
      <c r="A37" s="213">
        <f t="shared" si="1"/>
        <v>25.878627150925507</v>
      </c>
      <c r="B37" s="117">
        <v>2011</v>
      </c>
      <c r="C37" s="117" t="s">
        <v>31</v>
      </c>
      <c r="D37" s="81">
        <v>7.633339464921626</v>
      </c>
      <c r="E37" s="81">
        <v>13.974474875997412</v>
      </c>
      <c r="F37" s="81">
        <v>4.2708128100064693</v>
      </c>
    </row>
    <row r="38" spans="1:6" x14ac:dyDescent="0.3">
      <c r="A38" s="81">
        <f t="shared" si="1"/>
        <v>67.631281186359033</v>
      </c>
      <c r="B38" s="117">
        <v>2011</v>
      </c>
      <c r="C38" s="117" t="s">
        <v>42</v>
      </c>
      <c r="D38" s="81">
        <v>13.247750449910018</v>
      </c>
      <c r="E38" s="81">
        <v>47.729279799318704</v>
      </c>
      <c r="F38" s="81">
        <v>6.6542509371303149</v>
      </c>
    </row>
    <row r="39" spans="1:6" x14ac:dyDescent="0.3">
      <c r="A39" s="81">
        <f t="shared" si="1"/>
        <v>24.272821805737259</v>
      </c>
      <c r="B39" s="117">
        <v>2011</v>
      </c>
      <c r="C39" s="117" t="s">
        <v>44</v>
      </c>
      <c r="D39" s="81">
        <v>12.358104738154614</v>
      </c>
      <c r="E39" s="81">
        <v>8.2590085229772292</v>
      </c>
      <c r="F39" s="81">
        <v>3.6557085446054156</v>
      </c>
    </row>
    <row r="40" spans="1:6" x14ac:dyDescent="0.3">
      <c r="A40" s="81">
        <f t="shared" si="1"/>
        <v>29.449716050935397</v>
      </c>
      <c r="B40" s="117">
        <v>2011</v>
      </c>
      <c r="C40" s="117" t="s">
        <v>48</v>
      </c>
      <c r="D40" s="81">
        <v>10.732811228641173</v>
      </c>
      <c r="E40" s="81">
        <v>15.062238996316923</v>
      </c>
      <c r="F40" s="81">
        <v>3.6546658259773017</v>
      </c>
    </row>
    <row r="41" spans="1:6" x14ac:dyDescent="0.3">
      <c r="A41" s="81">
        <f t="shared" si="1"/>
        <v>35.275171424061398</v>
      </c>
      <c r="B41" s="117">
        <v>2011</v>
      </c>
      <c r="C41" s="117" t="s">
        <v>51</v>
      </c>
      <c r="D41" s="81">
        <v>12.162517533266298</v>
      </c>
      <c r="E41" s="81">
        <v>16.551151553633268</v>
      </c>
      <c r="F41" s="81">
        <v>6.5615023371618308</v>
      </c>
    </row>
    <row r="42" spans="1:6" x14ac:dyDescent="0.3">
      <c r="A42" s="81">
        <f t="shared" si="1"/>
        <v>73.933029486890902</v>
      </c>
      <c r="B42" s="117">
        <v>2011</v>
      </c>
      <c r="C42" s="117" t="s">
        <v>56</v>
      </c>
      <c r="D42" s="81">
        <v>25.597229094507668</v>
      </c>
      <c r="E42" s="81">
        <v>38.71596143716512</v>
      </c>
      <c r="F42" s="81">
        <v>9.6198389552181087</v>
      </c>
    </row>
    <row r="43" spans="1:6" x14ac:dyDescent="0.3">
      <c r="A43" s="81">
        <f t="shared" si="1"/>
        <v>41.814262492990515</v>
      </c>
      <c r="B43" s="117">
        <v>2011</v>
      </c>
      <c r="C43" s="117" t="s">
        <v>59</v>
      </c>
      <c r="D43" s="81">
        <v>13.948546242077049</v>
      </c>
      <c r="E43" s="81">
        <v>21.15796980885095</v>
      </c>
      <c r="F43" s="81">
        <v>6.7077464420625121</v>
      </c>
    </row>
    <row r="44" spans="1:6" x14ac:dyDescent="0.3">
      <c r="A44" s="81">
        <f t="shared" si="1"/>
        <v>27.637109308133738</v>
      </c>
      <c r="B44" s="117">
        <v>2011</v>
      </c>
      <c r="C44" s="117" t="s">
        <v>63</v>
      </c>
      <c r="D44" s="81">
        <v>5.0822333396397665</v>
      </c>
      <c r="E44" s="81">
        <v>16.218129317122134</v>
      </c>
      <c r="F44" s="81">
        <v>6.336746651371838</v>
      </c>
    </row>
    <row r="45" spans="1:6" x14ac:dyDescent="0.3">
      <c r="A45" s="81">
        <f t="shared" si="1"/>
        <v>17.279079960378766</v>
      </c>
      <c r="B45" s="117">
        <v>2011</v>
      </c>
      <c r="C45" s="117" t="s">
        <v>67</v>
      </c>
      <c r="D45" s="81">
        <v>6.261191413253588</v>
      </c>
      <c r="E45" s="81">
        <v>7.8983193084040115</v>
      </c>
      <c r="F45" s="81">
        <v>3.1195692387211653</v>
      </c>
    </row>
    <row r="46" spans="1:6" x14ac:dyDescent="0.3">
      <c r="A46" s="81">
        <f t="shared" si="1"/>
        <v>110.59990296542878</v>
      </c>
      <c r="B46" s="117">
        <v>2011</v>
      </c>
      <c r="C46" s="117" t="s">
        <v>272</v>
      </c>
      <c r="D46" s="81">
        <v>44.427413411938097</v>
      </c>
      <c r="E46" s="81">
        <v>47.104721981659267</v>
      </c>
      <c r="F46" s="81">
        <v>19.067767571831407</v>
      </c>
    </row>
    <row r="47" spans="1:6" x14ac:dyDescent="0.3">
      <c r="A47" s="81">
        <f t="shared" si="1"/>
        <v>45.383566358511999</v>
      </c>
      <c r="B47" s="117">
        <v>2011</v>
      </c>
      <c r="C47" s="117" t="s">
        <v>309</v>
      </c>
      <c r="D47" s="81">
        <v>15.496049969807164</v>
      </c>
      <c r="E47" s="81">
        <v>20.180014943679243</v>
      </c>
      <c r="F47" s="81">
        <v>9.7075014450255885</v>
      </c>
    </row>
    <row r="48" spans="1:6" x14ac:dyDescent="0.3">
      <c r="A48" s="81">
        <f t="shared" si="1"/>
        <v>40.330621241314873</v>
      </c>
      <c r="B48" s="117">
        <v>2011</v>
      </c>
      <c r="C48" s="117" t="s">
        <v>313</v>
      </c>
      <c r="D48" s="81">
        <v>9.4344991408906154</v>
      </c>
      <c r="E48" s="81">
        <v>19.407073596043713</v>
      </c>
      <c r="F48" s="81">
        <v>11.489048504380547</v>
      </c>
    </row>
    <row r="49" spans="1:6" x14ac:dyDescent="0.3">
      <c r="A49" s="81">
        <f t="shared" si="1"/>
        <v>72.992563412627163</v>
      </c>
      <c r="B49" s="117">
        <v>2011</v>
      </c>
      <c r="C49" s="117" t="s">
        <v>271</v>
      </c>
      <c r="D49" s="81">
        <v>28.477120195241003</v>
      </c>
      <c r="E49" s="81">
        <v>33.661489399397624</v>
      </c>
      <c r="F49" s="81">
        <v>10.853953817988543</v>
      </c>
    </row>
    <row r="50" spans="1:6" x14ac:dyDescent="0.3">
      <c r="A50" s="213">
        <f t="shared" si="1"/>
        <v>63.211763271847239</v>
      </c>
      <c r="B50" s="117">
        <v>2012</v>
      </c>
      <c r="C50" s="117" t="s">
        <v>27</v>
      </c>
      <c r="D50" s="81">
        <v>24.820089940033309</v>
      </c>
      <c r="E50" s="81">
        <v>28.05014817186634</v>
      </c>
      <c r="F50" s="81">
        <v>10.341525159947585</v>
      </c>
    </row>
    <row r="51" spans="1:6" x14ac:dyDescent="0.3">
      <c r="A51" s="213">
        <f t="shared" si="1"/>
        <v>29.205130877573282</v>
      </c>
      <c r="B51" s="117">
        <v>2012</v>
      </c>
      <c r="C51" s="117" t="s">
        <v>21</v>
      </c>
      <c r="D51" s="81">
        <v>12.446158896913985</v>
      </c>
      <c r="E51" s="81">
        <v>13.360909226975799</v>
      </c>
      <c r="F51" s="81">
        <v>3.398062753683496</v>
      </c>
    </row>
    <row r="52" spans="1:6" x14ac:dyDescent="0.3">
      <c r="A52" s="213">
        <f t="shared" si="1"/>
        <v>37.336144512287447</v>
      </c>
      <c r="B52" s="117">
        <v>2012</v>
      </c>
      <c r="C52" s="117" t="s">
        <v>36</v>
      </c>
      <c r="D52" s="81">
        <v>20.18421298458664</v>
      </c>
      <c r="E52" s="81">
        <v>11.224503658989688</v>
      </c>
      <c r="F52" s="81">
        <v>5.9274278687111179</v>
      </c>
    </row>
    <row r="53" spans="1:6" x14ac:dyDescent="0.3">
      <c r="A53" s="213">
        <f t="shared" si="1"/>
        <v>20.706519465849283</v>
      </c>
      <c r="B53" s="117">
        <v>2012</v>
      </c>
      <c r="C53" s="117" t="s">
        <v>31</v>
      </c>
      <c r="D53" s="81">
        <v>6.0616728822909804</v>
      </c>
      <c r="E53" s="81">
        <v>11.33539459022891</v>
      </c>
      <c r="F53" s="81">
        <v>3.3094519933293944</v>
      </c>
    </row>
    <row r="54" spans="1:6" x14ac:dyDescent="0.3">
      <c r="A54" s="213">
        <f t="shared" si="1"/>
        <v>68.216422300781133</v>
      </c>
      <c r="B54" s="117">
        <v>2012</v>
      </c>
      <c r="C54" s="117" t="s">
        <v>42</v>
      </c>
      <c r="D54" s="81">
        <v>16.843627834245506</v>
      </c>
      <c r="E54" s="81">
        <v>44.462439858441336</v>
      </c>
      <c r="F54" s="81">
        <v>6.9103546080942904</v>
      </c>
    </row>
    <row r="55" spans="1:6" x14ac:dyDescent="0.3">
      <c r="A55" s="213">
        <f t="shared" si="1"/>
        <v>31.180391885847747</v>
      </c>
      <c r="B55" s="117">
        <v>2012</v>
      </c>
      <c r="C55" s="117" t="s">
        <v>44</v>
      </c>
      <c r="D55" s="81">
        <v>16.829406220546655</v>
      </c>
      <c r="E55" s="81">
        <v>10.303621670134119</v>
      </c>
      <c r="F55" s="81">
        <v>4.0473639951669771</v>
      </c>
    </row>
    <row r="56" spans="1:6" x14ac:dyDescent="0.3">
      <c r="A56" s="213">
        <f t="shared" si="1"/>
        <v>35.120099039240515</v>
      </c>
      <c r="B56" s="117">
        <v>2012</v>
      </c>
      <c r="C56" s="117" t="s">
        <v>48</v>
      </c>
      <c r="D56" s="81">
        <v>16.970585903432969</v>
      </c>
      <c r="E56" s="81">
        <v>14.764020206106036</v>
      </c>
      <c r="F56" s="81">
        <v>3.3854929297015124</v>
      </c>
    </row>
    <row r="57" spans="1:6" x14ac:dyDescent="0.3">
      <c r="A57" s="213">
        <f t="shared" si="1"/>
        <v>43.841354200170265</v>
      </c>
      <c r="B57" s="117">
        <v>2012</v>
      </c>
      <c r="C57" s="117" t="s">
        <v>51</v>
      </c>
      <c r="D57" s="81">
        <v>20.025397887964278</v>
      </c>
      <c r="E57" s="81">
        <v>17.451464515578113</v>
      </c>
      <c r="F57" s="81">
        <v>6.3644917966278767</v>
      </c>
    </row>
    <row r="58" spans="1:6" x14ac:dyDescent="0.3">
      <c r="A58" s="213">
        <f t="shared" si="1"/>
        <v>64.500501871117635</v>
      </c>
      <c r="B58" s="117">
        <v>2012</v>
      </c>
      <c r="C58" s="117" t="s">
        <v>56</v>
      </c>
      <c r="D58" s="81">
        <v>31.544028340080974</v>
      </c>
      <c r="E58" s="81">
        <v>26.989307488108196</v>
      </c>
      <c r="F58" s="81">
        <v>5.9671660429284668</v>
      </c>
    </row>
    <row r="59" spans="1:6" x14ac:dyDescent="0.3">
      <c r="A59" s="213">
        <f t="shared" si="1"/>
        <v>43.105762776190858</v>
      </c>
      <c r="B59" s="117">
        <v>2012</v>
      </c>
      <c r="C59" s="117" t="s">
        <v>59</v>
      </c>
      <c r="D59" s="81">
        <v>17.178309983519139</v>
      </c>
      <c r="E59" s="81">
        <v>19.161937934533686</v>
      </c>
      <c r="F59" s="81">
        <v>6.7655148581380367</v>
      </c>
    </row>
    <row r="60" spans="1:6" x14ac:dyDescent="0.3">
      <c r="A60" s="213">
        <f t="shared" si="1"/>
        <v>24.870673995819665</v>
      </c>
      <c r="B60" s="117">
        <v>2012</v>
      </c>
      <c r="C60" s="117" t="s">
        <v>63</v>
      </c>
      <c r="D60" s="81">
        <v>4.9930589672326802</v>
      </c>
      <c r="E60" s="81">
        <v>14.786387149469098</v>
      </c>
      <c r="F60" s="81">
        <v>5.0912278791178869</v>
      </c>
    </row>
    <row r="61" spans="1:6" x14ac:dyDescent="0.3">
      <c r="A61" s="213">
        <f t="shared" si="1"/>
        <v>26.712832715710025</v>
      </c>
      <c r="B61" s="117">
        <v>2012</v>
      </c>
      <c r="C61" s="117" t="s">
        <v>67</v>
      </c>
      <c r="D61" s="81">
        <v>16.220119795049438</v>
      </c>
      <c r="E61" s="81">
        <v>7.6998239547143408</v>
      </c>
      <c r="F61" s="81">
        <v>2.7928889659462457</v>
      </c>
    </row>
    <row r="62" spans="1:6" x14ac:dyDescent="0.3">
      <c r="A62" s="81">
        <f t="shared" si="1"/>
        <v>115.39738672888818</v>
      </c>
      <c r="B62" s="117">
        <v>2012</v>
      </c>
      <c r="C62" s="117" t="s">
        <v>272</v>
      </c>
      <c r="D62" s="81">
        <v>45.260153677277714</v>
      </c>
      <c r="E62" s="81">
        <v>55.881331324153763</v>
      </c>
      <c r="F62" s="81">
        <v>14.255901727456699</v>
      </c>
    </row>
    <row r="63" spans="1:6" x14ac:dyDescent="0.3">
      <c r="A63" s="81">
        <f t="shared" si="1"/>
        <v>53.389593243462613</v>
      </c>
      <c r="B63" s="117">
        <v>2012</v>
      </c>
      <c r="C63" s="117" t="s">
        <v>309</v>
      </c>
      <c r="D63" s="81">
        <v>19.735122304148248</v>
      </c>
      <c r="E63" s="81">
        <v>22.034544731788429</v>
      </c>
      <c r="F63" s="81">
        <v>11.619926207525937</v>
      </c>
    </row>
    <row r="64" spans="1:6" x14ac:dyDescent="0.3">
      <c r="A64" s="81">
        <f t="shared" si="1"/>
        <v>46.794118007137698</v>
      </c>
      <c r="B64" s="117">
        <v>2012</v>
      </c>
      <c r="C64" s="117" t="s">
        <v>313</v>
      </c>
      <c r="D64" s="81">
        <v>12.580995360752695</v>
      </c>
      <c r="E64" s="81">
        <v>20.124623946628692</v>
      </c>
      <c r="F64" s="81">
        <v>14.088498699756316</v>
      </c>
    </row>
    <row r="65" spans="1:6" x14ac:dyDescent="0.3">
      <c r="A65" s="81">
        <f t="shared" si="1"/>
        <v>75.020060781815616</v>
      </c>
      <c r="B65" s="117">
        <v>2012</v>
      </c>
      <c r="C65" s="117" t="s">
        <v>271</v>
      </c>
      <c r="D65" s="81">
        <v>27.574977817213846</v>
      </c>
      <c r="E65" s="81">
        <v>36.678484513274334</v>
      </c>
      <c r="F65" s="81">
        <v>10.766598451327434</v>
      </c>
    </row>
    <row r="66" spans="1:6" x14ac:dyDescent="0.3">
      <c r="A66" s="81">
        <f t="shared" ref="A66:A92" si="2">SUM(D66:F66)</f>
        <v>58.234134042513773</v>
      </c>
      <c r="B66" s="117">
        <v>2013</v>
      </c>
      <c r="C66" s="117" t="s">
        <v>27</v>
      </c>
      <c r="D66" s="81">
        <v>26.87677335318779</v>
      </c>
      <c r="E66" s="81">
        <v>24.384499966471111</v>
      </c>
      <c r="F66" s="81">
        <v>6.9728607228548753</v>
      </c>
    </row>
    <row r="67" spans="1:6" x14ac:dyDescent="0.3">
      <c r="A67" s="81">
        <f t="shared" si="2"/>
        <v>31.550640819927217</v>
      </c>
      <c r="B67" s="117">
        <v>2013</v>
      </c>
      <c r="C67" s="117" t="s">
        <v>21</v>
      </c>
      <c r="D67" s="81">
        <v>12.766816143497756</v>
      </c>
      <c r="E67" s="81">
        <v>14.88933222193906</v>
      </c>
      <c r="F67" s="81">
        <v>3.8944924544903987</v>
      </c>
    </row>
    <row r="68" spans="1:6" x14ac:dyDescent="0.3">
      <c r="A68" s="81">
        <f t="shared" si="2"/>
        <v>34.215720728517852</v>
      </c>
      <c r="B68" s="117">
        <v>2013</v>
      </c>
      <c r="C68" s="117" t="s">
        <v>36</v>
      </c>
      <c r="D68" s="81">
        <v>15.72332616124541</v>
      </c>
      <c r="E68" s="81">
        <v>14.660682177721187</v>
      </c>
      <c r="F68" s="81">
        <v>3.8317123895512593</v>
      </c>
    </row>
    <row r="69" spans="1:6" x14ac:dyDescent="0.3">
      <c r="A69" s="81">
        <f t="shared" si="2"/>
        <v>15.96853330807723</v>
      </c>
      <c r="B69" s="117">
        <v>2013</v>
      </c>
      <c r="C69" s="117" t="s">
        <v>31</v>
      </c>
      <c r="D69" s="81">
        <v>4.5609309312608692</v>
      </c>
      <c r="E69" s="81">
        <v>8.8052786420404221</v>
      </c>
      <c r="F69" s="81">
        <v>2.6023237347759394</v>
      </c>
    </row>
    <row r="70" spans="1:6" x14ac:dyDescent="0.3">
      <c r="A70" s="81">
        <f t="shared" si="2"/>
        <v>57.92137475815349</v>
      </c>
      <c r="B70" s="117">
        <v>2013</v>
      </c>
      <c r="C70" s="117" t="s">
        <v>42</v>
      </c>
      <c r="D70" s="81">
        <v>16.924909860479701</v>
      </c>
      <c r="E70" s="81">
        <v>35.063386337212599</v>
      </c>
      <c r="F70" s="81">
        <v>5.9330785604611869</v>
      </c>
    </row>
    <row r="71" spans="1:6" x14ac:dyDescent="0.3">
      <c r="A71" s="81">
        <f t="shared" si="2"/>
        <v>36.354710338891884</v>
      </c>
      <c r="B71" s="117">
        <v>2013</v>
      </c>
      <c r="C71" s="117" t="s">
        <v>44</v>
      </c>
      <c r="D71" s="81">
        <v>22.1286222674123</v>
      </c>
      <c r="E71" s="81">
        <v>10.939931113309783</v>
      </c>
      <c r="F71" s="81">
        <v>3.2861569581698022</v>
      </c>
    </row>
    <row r="72" spans="1:6" x14ac:dyDescent="0.3">
      <c r="A72" s="81">
        <f t="shared" si="2"/>
        <v>149.69663166170466</v>
      </c>
      <c r="B72" s="117">
        <v>2013</v>
      </c>
      <c r="C72" s="117" t="s">
        <v>48</v>
      </c>
      <c r="D72" s="81">
        <v>128.72017353579184</v>
      </c>
      <c r="E72" s="81">
        <v>17.622937002178563</v>
      </c>
      <c r="F72" s="81">
        <v>3.3535211237342595</v>
      </c>
    </row>
    <row r="73" spans="1:6" x14ac:dyDescent="0.3">
      <c r="A73" s="81">
        <f t="shared" si="2"/>
        <v>43.140321878591266</v>
      </c>
      <c r="B73" s="117">
        <v>2013</v>
      </c>
      <c r="C73" s="117" t="s">
        <v>51</v>
      </c>
      <c r="D73" s="81">
        <v>18.83083639433616</v>
      </c>
      <c r="E73" s="81">
        <v>18.476737074362529</v>
      </c>
      <c r="F73" s="81">
        <v>5.8327484098925719</v>
      </c>
    </row>
    <row r="74" spans="1:6" x14ac:dyDescent="0.3">
      <c r="A74" s="213">
        <f t="shared" si="2"/>
        <v>58.109802209971278</v>
      </c>
      <c r="B74" s="117">
        <v>2013</v>
      </c>
      <c r="C74" s="117" t="s">
        <v>56</v>
      </c>
      <c r="D74" s="81">
        <v>25.131021643006747</v>
      </c>
      <c r="E74" s="81">
        <v>28.171627446912368</v>
      </c>
      <c r="F74" s="81">
        <v>4.8071531200521616</v>
      </c>
    </row>
    <row r="75" spans="1:6" x14ac:dyDescent="0.3">
      <c r="A75" s="213">
        <f t="shared" si="2"/>
        <v>150.76381321364767</v>
      </c>
      <c r="B75" s="117">
        <v>2013</v>
      </c>
      <c r="C75" s="117" t="s">
        <v>59</v>
      </c>
      <c r="D75" s="81">
        <v>125.41330748707466</v>
      </c>
      <c r="E75" s="81">
        <v>19.183594979196535</v>
      </c>
      <c r="F75" s="81">
        <v>6.1669107473764671</v>
      </c>
    </row>
    <row r="76" spans="1:6" x14ac:dyDescent="0.3">
      <c r="A76" s="213">
        <f t="shared" si="2"/>
        <v>24.472459079480547</v>
      </c>
      <c r="B76" s="117">
        <v>2013</v>
      </c>
      <c r="C76" s="117" t="s">
        <v>63</v>
      </c>
      <c r="D76" s="81">
        <v>4.8047790430971924</v>
      </c>
      <c r="E76" s="81">
        <v>15.689324633979954</v>
      </c>
      <c r="F76" s="81">
        <v>3.9783554024034009</v>
      </c>
    </row>
    <row r="77" spans="1:6" x14ac:dyDescent="0.3">
      <c r="A77" s="213">
        <f t="shared" si="2"/>
        <v>19.471728184933266</v>
      </c>
      <c r="B77" s="117">
        <v>2013</v>
      </c>
      <c r="C77" s="117" t="s">
        <v>67</v>
      </c>
      <c r="D77" s="81">
        <v>8.8799456959092549</v>
      </c>
      <c r="E77" s="81">
        <v>7.9724480202362784</v>
      </c>
      <c r="F77" s="81">
        <v>2.619334468787732</v>
      </c>
    </row>
    <row r="78" spans="1:6" x14ac:dyDescent="0.3">
      <c r="A78" s="213">
        <f t="shared" si="2"/>
        <v>89.190247781389075</v>
      </c>
      <c r="B78" s="117">
        <v>2013</v>
      </c>
      <c r="C78" s="117" t="s">
        <v>272</v>
      </c>
      <c r="D78" s="81">
        <v>32.635494880546069</v>
      </c>
      <c r="E78" s="81">
        <v>46.537490352117722</v>
      </c>
      <c r="F78" s="81">
        <v>10.017262548725286</v>
      </c>
    </row>
    <row r="79" spans="1:6" x14ac:dyDescent="0.3">
      <c r="A79" s="213">
        <f t="shared" si="2"/>
        <v>54.104288189123601</v>
      </c>
      <c r="B79" s="117">
        <v>2013</v>
      </c>
      <c r="C79" s="117" t="s">
        <v>309</v>
      </c>
      <c r="D79" s="81">
        <v>20.875244038685072</v>
      </c>
      <c r="E79" s="81">
        <v>25.199583766909463</v>
      </c>
      <c r="F79" s="81">
        <v>8.0294603835290612</v>
      </c>
    </row>
    <row r="80" spans="1:6" x14ac:dyDescent="0.3">
      <c r="A80" s="213">
        <f t="shared" si="2"/>
        <v>41.939571700967882</v>
      </c>
      <c r="B80" s="117">
        <v>2013</v>
      </c>
      <c r="C80" s="117" t="s">
        <v>313</v>
      </c>
      <c r="D80" s="81">
        <v>12.287244589655149</v>
      </c>
      <c r="E80" s="81">
        <v>20.00680846146782</v>
      </c>
      <c r="F80" s="81">
        <v>9.6455186498449113</v>
      </c>
    </row>
    <row r="81" spans="1:7" x14ac:dyDescent="0.3">
      <c r="A81" s="213">
        <f t="shared" si="2"/>
        <v>62.605581300305005</v>
      </c>
      <c r="B81" s="117">
        <v>2013</v>
      </c>
      <c r="C81" s="117" t="s">
        <v>271</v>
      </c>
      <c r="D81" s="81">
        <v>19.628478496566679</v>
      </c>
      <c r="E81" s="81">
        <v>35.338572642310965</v>
      </c>
      <c r="F81" s="81">
        <v>7.638530161427358</v>
      </c>
    </row>
    <row r="82" spans="1:7" x14ac:dyDescent="0.3">
      <c r="A82" s="213">
        <f t="shared" si="2"/>
        <v>61.485290360038022</v>
      </c>
      <c r="B82" s="117">
        <v>2014</v>
      </c>
      <c r="C82" s="117" t="s">
        <v>27</v>
      </c>
      <c r="D82" s="81">
        <v>30.401815734750574</v>
      </c>
      <c r="E82" s="81">
        <v>22.398757950753932</v>
      </c>
      <c r="F82" s="81">
        <v>8.6847166745335223</v>
      </c>
    </row>
    <row r="83" spans="1:7" x14ac:dyDescent="0.3">
      <c r="A83" s="213">
        <f t="shared" si="2"/>
        <v>36.572551269776774</v>
      </c>
      <c r="B83" s="117">
        <v>2014</v>
      </c>
      <c r="C83" s="117" t="s">
        <v>21</v>
      </c>
      <c r="D83" s="81">
        <v>14.327037516170762</v>
      </c>
      <c r="E83" s="81">
        <v>17.750730076843865</v>
      </c>
      <c r="F83" s="81">
        <v>4.4947836767621441</v>
      </c>
    </row>
    <row r="84" spans="1:7" x14ac:dyDescent="0.3">
      <c r="A84" s="213">
        <f t="shared" si="2"/>
        <v>36.864865756035414</v>
      </c>
      <c r="B84" s="117">
        <v>2014</v>
      </c>
      <c r="C84" s="117" t="s">
        <v>36</v>
      </c>
      <c r="D84" s="81">
        <v>17.248091603053435</v>
      </c>
      <c r="E84" s="81">
        <v>15.922894899552515</v>
      </c>
      <c r="F84" s="81">
        <v>3.6938792534294667</v>
      </c>
    </row>
    <row r="85" spans="1:7" x14ac:dyDescent="0.3">
      <c r="A85" s="213">
        <f t="shared" si="2"/>
        <v>15.586928232524714</v>
      </c>
      <c r="B85" s="117">
        <v>2014</v>
      </c>
      <c r="C85" s="117" t="s">
        <v>31</v>
      </c>
      <c r="D85" s="81">
        <v>4.0957287951782106</v>
      </c>
      <c r="E85" s="81">
        <v>8.6292045749446196</v>
      </c>
      <c r="F85" s="81">
        <v>2.8619948624018843</v>
      </c>
    </row>
    <row r="86" spans="1:7" x14ac:dyDescent="0.3">
      <c r="A86" s="81">
        <f t="shared" si="2"/>
        <v>56.083602752631776</v>
      </c>
      <c r="B86" s="117">
        <v>2014</v>
      </c>
      <c r="C86" s="117" t="s">
        <v>42</v>
      </c>
      <c r="D86" s="81">
        <v>19.457275541795667</v>
      </c>
      <c r="E86" s="81">
        <v>30.813264894394869</v>
      </c>
      <c r="F86" s="81">
        <v>5.8130623164412407</v>
      </c>
    </row>
    <row r="87" spans="1:7" x14ac:dyDescent="0.3">
      <c r="A87" s="81">
        <f t="shared" si="2"/>
        <v>48.874956637142482</v>
      </c>
      <c r="B87" s="117">
        <v>2014</v>
      </c>
      <c r="C87" s="117" t="s">
        <v>44</v>
      </c>
      <c r="D87" s="81">
        <v>28.431192660550462</v>
      </c>
      <c r="E87" s="81">
        <v>13.75307214655219</v>
      </c>
      <c r="F87" s="81">
        <v>6.6906918300398344</v>
      </c>
    </row>
    <row r="88" spans="1:7" x14ac:dyDescent="0.3">
      <c r="A88" s="81">
        <f t="shared" si="2"/>
        <v>140.28925798020305</v>
      </c>
      <c r="B88" s="117">
        <v>2014</v>
      </c>
      <c r="C88" s="117" t="s">
        <v>48</v>
      </c>
      <c r="D88" s="81">
        <v>103.4668791258821</v>
      </c>
      <c r="E88" s="81">
        <v>19.656158986711102</v>
      </c>
      <c r="F88" s="81">
        <v>17.166219867609854</v>
      </c>
    </row>
    <row r="89" spans="1:7" x14ac:dyDescent="0.3">
      <c r="A89" s="81">
        <f t="shared" si="2"/>
        <v>39.960845627403089</v>
      </c>
      <c r="B89" s="117">
        <v>2014</v>
      </c>
      <c r="C89" s="117" t="s">
        <v>51</v>
      </c>
      <c r="D89" s="81">
        <v>15.525196505736854</v>
      </c>
      <c r="E89" s="81">
        <v>18.710043486816584</v>
      </c>
      <c r="F89" s="81">
        <v>5.7256056348496536</v>
      </c>
    </row>
    <row r="90" spans="1:7" x14ac:dyDescent="0.3">
      <c r="A90" s="81">
        <f t="shared" si="2"/>
        <v>73.687851652973706</v>
      </c>
      <c r="B90" s="117">
        <v>2014</v>
      </c>
      <c r="C90" s="117" t="s">
        <v>56</v>
      </c>
      <c r="D90" s="81">
        <v>20.177563661390227</v>
      </c>
      <c r="E90" s="81">
        <v>44.205951803990217</v>
      </c>
      <c r="F90" s="81">
        <v>9.3043361875932664</v>
      </c>
    </row>
    <row r="91" spans="1:7" x14ac:dyDescent="0.3">
      <c r="A91" s="67">
        <f t="shared" si="2"/>
        <v>128.22739637494411</v>
      </c>
      <c r="B91" s="117">
        <v>2014</v>
      </c>
      <c r="C91" s="117" t="s">
        <v>59</v>
      </c>
      <c r="D91" s="81">
        <v>102.21560202599126</v>
      </c>
      <c r="E91" s="81">
        <v>19.267995814039136</v>
      </c>
      <c r="F91" s="81">
        <v>6.7437985349136982</v>
      </c>
    </row>
    <row r="92" spans="1:7" x14ac:dyDescent="0.3">
      <c r="A92" s="67">
        <f t="shared" si="2"/>
        <v>19.922968492151675</v>
      </c>
      <c r="B92" s="117">
        <v>2014</v>
      </c>
      <c r="C92" s="117" t="s">
        <v>63</v>
      </c>
      <c r="D92" s="81">
        <v>3.0579823511855024</v>
      </c>
      <c r="E92" s="81">
        <v>12.749971716257495</v>
      </c>
      <c r="F92" s="81">
        <v>4.1150144247086766</v>
      </c>
    </row>
    <row r="93" spans="1:7" x14ac:dyDescent="0.3">
      <c r="B93" s="117">
        <v>2014</v>
      </c>
      <c r="C93" s="117" t="s">
        <v>67</v>
      </c>
      <c r="D93" s="81">
        <v>8.5454078834682239</v>
      </c>
      <c r="E93" s="81">
        <v>8.2722097565548935</v>
      </c>
      <c r="F93" s="81">
        <v>6.4656784274508583</v>
      </c>
      <c r="G93" s="67"/>
    </row>
    <row r="94" spans="1:7" x14ac:dyDescent="0.3">
      <c r="B94" s="117">
        <v>2014</v>
      </c>
      <c r="C94" s="117" t="s">
        <v>272</v>
      </c>
      <c r="D94" s="81">
        <v>23.15504511894996</v>
      </c>
      <c r="E94" s="81">
        <v>32.475656976781643</v>
      </c>
      <c r="F94" s="81">
        <v>8.8905599395207755</v>
      </c>
      <c r="G94" s="67"/>
    </row>
    <row r="95" spans="1:7" x14ac:dyDescent="0.3">
      <c r="B95" s="117">
        <v>2014</v>
      </c>
      <c r="C95" s="117" t="s">
        <v>309</v>
      </c>
      <c r="D95" s="81">
        <v>19.452567349217325</v>
      </c>
      <c r="E95" s="81">
        <v>24.017639143730886</v>
      </c>
      <c r="F95" s="81">
        <v>9.5806678899082591</v>
      </c>
    </row>
    <row r="96" spans="1:7" x14ac:dyDescent="0.3">
      <c r="B96" s="117">
        <v>2014</v>
      </c>
      <c r="C96" s="117" t="s">
        <v>313</v>
      </c>
      <c r="D96" s="81">
        <v>13.037177339403037</v>
      </c>
      <c r="E96" s="81">
        <v>18.849224823706663</v>
      </c>
      <c r="F96" s="81">
        <v>9.7054087527684647</v>
      </c>
    </row>
    <row r="97" spans="2:6" x14ac:dyDescent="0.3">
      <c r="B97" s="117">
        <v>2014</v>
      </c>
      <c r="C97" s="117" t="s">
        <v>271</v>
      </c>
      <c r="D97" s="81">
        <v>18.072739868375475</v>
      </c>
      <c r="E97" s="81">
        <v>29.347006208565716</v>
      </c>
      <c r="F97" s="81">
        <v>7.1100852362411873</v>
      </c>
    </row>
    <row r="98" spans="2:6" x14ac:dyDescent="0.3">
      <c r="B98" s="117">
        <v>2015</v>
      </c>
      <c r="C98" s="117" t="s">
        <v>27</v>
      </c>
      <c r="D98" s="81">
        <v>100.71090047393363</v>
      </c>
      <c r="E98" s="81">
        <v>17.776886219378763</v>
      </c>
      <c r="F98" s="81">
        <v>4.0857756610574416</v>
      </c>
    </row>
    <row r="99" spans="2:6" x14ac:dyDescent="0.3">
      <c r="B99" s="117">
        <v>2015</v>
      </c>
      <c r="C99" s="117" t="s">
        <v>21</v>
      </c>
      <c r="D99" s="81">
        <v>23.998675204239344</v>
      </c>
      <c r="E99" s="81">
        <v>12.668852416297462</v>
      </c>
      <c r="F99" s="81">
        <v>2.9328583138451685</v>
      </c>
    </row>
    <row r="100" spans="2:6" x14ac:dyDescent="0.3">
      <c r="B100" s="117">
        <v>2015</v>
      </c>
      <c r="C100" s="117" t="s">
        <v>36</v>
      </c>
      <c r="D100" s="81">
        <v>20.134077164689881</v>
      </c>
      <c r="E100" s="81">
        <v>14.822355666553106</v>
      </c>
      <c r="F100" s="81">
        <v>2.7374116892689169</v>
      </c>
    </row>
    <row r="101" spans="2:6" x14ac:dyDescent="0.3">
      <c r="B101" s="117">
        <v>2015</v>
      </c>
      <c r="C101" s="117" t="s">
        <v>31</v>
      </c>
      <c r="D101" s="81">
        <v>3.7325047281829549</v>
      </c>
      <c r="E101" s="81">
        <v>7.7019489657736129</v>
      </c>
      <c r="F101" s="81">
        <v>1.560664148588726</v>
      </c>
    </row>
    <row r="102" spans="2:6" x14ac:dyDescent="0.3">
      <c r="B102" s="117">
        <v>2015</v>
      </c>
      <c r="C102" s="117" t="s">
        <v>42</v>
      </c>
      <c r="D102" s="81">
        <v>43.615884476534298</v>
      </c>
      <c r="E102" s="81">
        <v>21.427560508764181</v>
      </c>
      <c r="F102" s="81">
        <v>4.1303646206505933</v>
      </c>
    </row>
    <row r="103" spans="2:6" x14ac:dyDescent="0.3">
      <c r="B103" s="117">
        <v>2015</v>
      </c>
      <c r="C103" s="117" t="s">
        <v>44</v>
      </c>
      <c r="D103" s="81">
        <v>85.117181883537057</v>
      </c>
      <c r="E103" s="81">
        <v>10.445727920247807</v>
      </c>
      <c r="F103" s="81">
        <v>3.2595848985623115</v>
      </c>
    </row>
    <row r="104" spans="2:6" x14ac:dyDescent="0.3">
      <c r="B104" s="117">
        <v>2015</v>
      </c>
      <c r="C104" s="117" t="s">
        <v>48</v>
      </c>
      <c r="D104" s="81">
        <v>62.180316586373017</v>
      </c>
      <c r="E104" s="81">
        <v>19.998155296617767</v>
      </c>
      <c r="F104" s="81">
        <v>4.3880908057875203</v>
      </c>
    </row>
    <row r="105" spans="2:6" x14ac:dyDescent="0.3">
      <c r="B105" s="117">
        <v>2015</v>
      </c>
      <c r="C105" s="117" t="s">
        <v>51</v>
      </c>
      <c r="D105" s="81">
        <v>19.069060701353852</v>
      </c>
      <c r="E105" s="81">
        <v>14.791228608481632</v>
      </c>
      <c r="F105" s="81">
        <v>3.9496370087507073</v>
      </c>
    </row>
    <row r="106" spans="2:6" x14ac:dyDescent="0.3">
      <c r="B106" s="117">
        <v>2015</v>
      </c>
      <c r="C106" s="117" t="s">
        <v>56</v>
      </c>
      <c r="D106" s="81">
        <v>32.813176895306853</v>
      </c>
      <c r="E106" s="81">
        <v>25.546842096912123</v>
      </c>
      <c r="F106" s="81">
        <v>5.0926926248384783</v>
      </c>
    </row>
    <row r="107" spans="2:6" x14ac:dyDescent="0.3">
      <c r="B107" s="117">
        <v>2015</v>
      </c>
      <c r="C107" s="117" t="s">
        <v>59</v>
      </c>
      <c r="D107" s="81">
        <v>-158.07340349874681</v>
      </c>
      <c r="E107" s="81">
        <v>18.204977930411051</v>
      </c>
      <c r="F107" s="81">
        <v>4.5103708685751114</v>
      </c>
    </row>
    <row r="108" spans="2:6" x14ac:dyDescent="0.3">
      <c r="B108" s="117">
        <v>2015</v>
      </c>
      <c r="C108" s="117" t="s">
        <v>63</v>
      </c>
      <c r="D108" s="81">
        <v>2.8357597058205171</v>
      </c>
      <c r="E108" s="81">
        <v>10.926371466660907</v>
      </c>
      <c r="F108" s="81">
        <v>2.1570311410940319</v>
      </c>
    </row>
    <row r="109" spans="2:6" x14ac:dyDescent="0.3">
      <c r="B109" s="117">
        <v>2015</v>
      </c>
      <c r="C109" s="117" t="s">
        <v>67</v>
      </c>
      <c r="D109" s="81">
        <v>19.386369747625032</v>
      </c>
      <c r="E109" s="81">
        <v>8.1741738885398707</v>
      </c>
      <c r="F109" s="81">
        <v>2.5066031194319343</v>
      </c>
    </row>
    <row r="110" spans="2:6" x14ac:dyDescent="0.3">
      <c r="B110" s="117">
        <v>2015</v>
      </c>
      <c r="C110" s="117" t="s">
        <v>272</v>
      </c>
      <c r="D110" s="81">
        <v>19.114597926590083</v>
      </c>
      <c r="E110" s="81">
        <v>19.746959361935808</v>
      </c>
      <c r="F110" s="81">
        <v>4.5442164841387864</v>
      </c>
    </row>
    <row r="111" spans="2:6" x14ac:dyDescent="0.3">
      <c r="B111" s="117">
        <v>2015</v>
      </c>
      <c r="C111" s="117" t="s">
        <v>309</v>
      </c>
      <c r="D111" s="81">
        <v>22.630786134135668</v>
      </c>
      <c r="E111" s="81">
        <v>18.885458468933379</v>
      </c>
      <c r="F111" s="81">
        <v>5.9092318529686443</v>
      </c>
    </row>
    <row r="112" spans="2:6" x14ac:dyDescent="0.3">
      <c r="B112" s="117">
        <v>2015</v>
      </c>
      <c r="C112" s="117" t="s">
        <v>313</v>
      </c>
      <c r="D112" s="81">
        <v>17.677217338167043</v>
      </c>
      <c r="E112" s="81">
        <v>12.826026421302174</v>
      </c>
      <c r="F112" s="81">
        <v>4.4167029312832708</v>
      </c>
    </row>
    <row r="113" spans="2:6" x14ac:dyDescent="0.3">
      <c r="B113" s="117">
        <v>2015</v>
      </c>
      <c r="C113" s="117" t="s">
        <v>271</v>
      </c>
      <c r="D113" s="81">
        <v>42.476099426386227</v>
      </c>
      <c r="E113" s="81">
        <v>22.876842924669869</v>
      </c>
      <c r="F113" s="81">
        <v>5.211512417466988</v>
      </c>
    </row>
  </sheetData>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vt:lpstr>
      <vt:lpstr>Pivots</vt:lpstr>
      <vt:lpstr>Dashboard</vt:lpstr>
      <vt:lpstr>Price Charts</vt:lpstr>
      <vt:lpstr>Gas</vt:lpstr>
      <vt:lpstr>Oil</vt:lpstr>
      <vt:lpstr>NGL</vt:lpstr>
      <vt:lpstr>10Capex</vt:lpstr>
      <vt:lpstr>HiLowAvg</vt:lpstr>
      <vt:lpstr>Notes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Quijano</dc:creator>
  <cp:lastModifiedBy>Gurcan Gulen</cp:lastModifiedBy>
  <cp:lastPrinted>2017-04-05T18:52:12Z</cp:lastPrinted>
  <dcterms:created xsi:type="dcterms:W3CDTF">2015-02-24T15:49:53Z</dcterms:created>
  <dcterms:modified xsi:type="dcterms:W3CDTF">2017-12-06T21:11:28Z</dcterms:modified>
</cp:coreProperties>
</file>